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SAP Website Documents\"/>
    </mc:Choice>
  </mc:AlternateContent>
  <bookViews>
    <workbookView xWindow="0" yWindow="0" windowWidth="28800" windowHeight="13638"/>
  </bookViews>
  <sheets>
    <sheet name="summary" sheetId="26" r:id="rId1"/>
    <sheet name="jan" sheetId="2" r:id="rId2"/>
    <sheet name="feb" sheetId="4" r:id="rId3"/>
    <sheet name="mar" sheetId="16" r:id="rId4"/>
    <sheet name="apr" sheetId="17" r:id="rId5"/>
    <sheet name="may" sheetId="18" r:id="rId6"/>
    <sheet name="jun" sheetId="19" r:id="rId7"/>
    <sheet name="jul" sheetId="20" r:id="rId8"/>
    <sheet name="aug" sheetId="21" r:id="rId9"/>
    <sheet name="sep" sheetId="22" r:id="rId10"/>
    <sheet name="oct" sheetId="23" r:id="rId11"/>
    <sheet name="nov" sheetId="24" r:id="rId12"/>
    <sheet name="dec" sheetId="25" r:id="rId13"/>
  </sheets>
  <externalReferences>
    <externalReference r:id="rId14"/>
  </externalReferences>
  <definedNames>
    <definedName name="ExpenseCategories">[1]!ExpenseSummary[Types of Intervention]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6" l="1"/>
  <c r="N12" i="26"/>
  <c r="M11" i="26" l="1"/>
  <c r="M10" i="26"/>
  <c r="M9" i="26"/>
  <c r="M8" i="26"/>
  <c r="M7" i="26"/>
  <c r="M6" i="26"/>
  <c r="M5" i="26"/>
  <c r="M4" i="26"/>
  <c r="L10" i="26"/>
  <c r="L9" i="26"/>
  <c r="L8" i="26"/>
  <c r="L7" i="26"/>
  <c r="L6" i="26"/>
  <c r="L5" i="26"/>
  <c r="L4" i="26"/>
  <c r="K10" i="26"/>
  <c r="K9" i="26"/>
  <c r="K8" i="26"/>
  <c r="K7" i="26"/>
  <c r="K6" i="26"/>
  <c r="K5" i="26"/>
  <c r="K4" i="26"/>
  <c r="J10" i="26"/>
  <c r="J9" i="26"/>
  <c r="J8" i="26"/>
  <c r="J7" i="26"/>
  <c r="J6" i="26"/>
  <c r="J5" i="26"/>
  <c r="J4" i="26"/>
  <c r="I10" i="26"/>
  <c r="I9" i="26"/>
  <c r="I8" i="26"/>
  <c r="I7" i="26"/>
  <c r="I6" i="26"/>
  <c r="I5" i="26"/>
  <c r="I4" i="26"/>
  <c r="H10" i="26"/>
  <c r="H9" i="26"/>
  <c r="H8" i="26"/>
  <c r="H7" i="26"/>
  <c r="H6" i="26"/>
  <c r="H5" i="26"/>
  <c r="H4" i="26"/>
  <c r="G10" i="26"/>
  <c r="G9" i="26"/>
  <c r="G8" i="26"/>
  <c r="G7" i="26"/>
  <c r="G6" i="26"/>
  <c r="G5" i="26"/>
  <c r="G4" i="26"/>
  <c r="F10" i="26"/>
  <c r="F9" i="26"/>
  <c r="F8" i="26"/>
  <c r="F7" i="26"/>
  <c r="F6" i="26"/>
  <c r="F5" i="26"/>
  <c r="F4" i="26"/>
  <c r="E10" i="26"/>
  <c r="E9" i="26"/>
  <c r="E8" i="26"/>
  <c r="E7" i="26"/>
  <c r="E6" i="26"/>
  <c r="E5" i="26"/>
  <c r="E4" i="26"/>
  <c r="D10" i="26"/>
  <c r="D9" i="26"/>
  <c r="D8" i="26"/>
  <c r="D7" i="26"/>
  <c r="D6" i="26"/>
  <c r="D5" i="26"/>
  <c r="D4" i="26"/>
  <c r="B13" i="26"/>
  <c r="B11" i="26"/>
  <c r="C10" i="26"/>
  <c r="C9" i="26"/>
  <c r="C8" i="26"/>
  <c r="C7" i="26"/>
  <c r="C6" i="26"/>
  <c r="C5" i="26"/>
  <c r="C4" i="26"/>
  <c r="B10" i="26"/>
  <c r="B9" i="26"/>
  <c r="B8" i="26"/>
  <c r="B7" i="26"/>
  <c r="B6" i="26"/>
  <c r="B5" i="26"/>
  <c r="B4" i="26"/>
  <c r="J4" i="25"/>
  <c r="J3" i="25"/>
  <c r="J2" i="25"/>
  <c r="J4" i="24"/>
  <c r="J3" i="24"/>
  <c r="J2" i="24"/>
  <c r="L11" i="26" s="1"/>
  <c r="J4" i="23"/>
  <c r="K13" i="26" s="1"/>
  <c r="J3" i="23"/>
  <c r="J2" i="23"/>
  <c r="K11" i="26" s="1"/>
  <c r="J4" i="22"/>
  <c r="J3" i="22"/>
  <c r="J2" i="22"/>
  <c r="J11" i="26" s="1"/>
  <c r="J4" i="21"/>
  <c r="I13" i="26" s="1"/>
  <c r="J3" i="21"/>
  <c r="J2" i="21"/>
  <c r="I11" i="26" s="1"/>
  <c r="J4" i="20"/>
  <c r="J3" i="20"/>
  <c r="J2" i="20"/>
  <c r="H11" i="26" s="1"/>
  <c r="J4" i="19"/>
  <c r="G13" i="26" s="1"/>
  <c r="J3" i="19"/>
  <c r="J2" i="19"/>
  <c r="G11" i="26" s="1"/>
  <c r="J4" i="18"/>
  <c r="J3" i="18"/>
  <c r="J2" i="18"/>
  <c r="F11" i="26" s="1"/>
  <c r="J4" i="17"/>
  <c r="J5" i="17" s="1"/>
  <c r="J3" i="17"/>
  <c r="J2" i="17"/>
  <c r="E11" i="26" s="1"/>
  <c r="J4" i="16"/>
  <c r="D13" i="26" s="1"/>
  <c r="J3" i="16"/>
  <c r="J2" i="16"/>
  <c r="D11" i="26" s="1"/>
  <c r="J4" i="4"/>
  <c r="C13" i="26" s="1"/>
  <c r="J3" i="4"/>
  <c r="J2" i="4"/>
  <c r="J5" i="22" l="1"/>
  <c r="J5" i="20"/>
  <c r="J5" i="18"/>
  <c r="F13" i="26"/>
  <c r="J5" i="19"/>
  <c r="H13" i="26"/>
  <c r="J5" i="21"/>
  <c r="J13" i="26"/>
  <c r="J5" i="23"/>
  <c r="J5" i="24"/>
  <c r="L13" i="26"/>
  <c r="J5" i="25"/>
  <c r="M13" i="26"/>
  <c r="E13" i="26"/>
  <c r="C11" i="26"/>
  <c r="N11" i="26" s="1"/>
  <c r="E12" i="26"/>
  <c r="E14" i="26" s="1"/>
  <c r="I12" i="26"/>
  <c r="M12" i="26"/>
  <c r="N6" i="26"/>
  <c r="N10" i="26"/>
  <c r="N7" i="26"/>
  <c r="N4" i="26"/>
  <c r="N8" i="26"/>
  <c r="G12" i="26"/>
  <c r="G14" i="26" s="1"/>
  <c r="K12" i="26"/>
  <c r="K14" i="26" s="1"/>
  <c r="N5" i="26"/>
  <c r="N9" i="26"/>
  <c r="D12" i="26"/>
  <c r="D14" i="26" s="1"/>
  <c r="H12" i="26"/>
  <c r="L12" i="26"/>
  <c r="F12" i="26"/>
  <c r="F14" i="26" s="1"/>
  <c r="J12" i="26"/>
  <c r="J14" i="26" s="1"/>
  <c r="I14" i="26"/>
  <c r="J5" i="16"/>
  <c r="J5" i="4"/>
  <c r="N13" i="26" l="1"/>
  <c r="M14" i="26"/>
  <c r="L14" i="26"/>
  <c r="H14" i="26"/>
  <c r="J4" i="2"/>
  <c r="J3" i="2"/>
  <c r="J2" i="2"/>
  <c r="J5" i="2" l="1"/>
  <c r="B12" i="26" l="1"/>
  <c r="B14" i="26" s="1"/>
  <c r="C12" i="26"/>
  <c r="C14" i="26" l="1"/>
</calcChain>
</file>

<file path=xl/sharedStrings.xml><?xml version="1.0" encoding="utf-8"?>
<sst xmlns="http://schemas.openxmlformats.org/spreadsheetml/2006/main" count="497" uniqueCount="98">
  <si>
    <t>Date</t>
  </si>
  <si>
    <t>Patient</t>
  </si>
  <si>
    <t>MRN</t>
  </si>
  <si>
    <t>Intervention Type</t>
  </si>
  <si>
    <t>Initial Regimen</t>
  </si>
  <si>
    <t>Recommended Regimen</t>
  </si>
  <si>
    <t>Intervention Accepted?</t>
  </si>
  <si>
    <t>JANUARY INTERVENTIONS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</si>
  <si>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</si>
  <si>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</si>
  <si>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</si>
  <si>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</si>
  <si>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</si>
  <si>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</si>
  <si>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</si>
  <si>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</si>
  <si>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</si>
  <si>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IV to PO</t>
  </si>
  <si>
    <t>Dose adjustment</t>
  </si>
  <si>
    <t>PK consultation</t>
  </si>
  <si>
    <t>De-escalation</t>
  </si>
  <si>
    <t>Resolve bug-drug mismatch</t>
  </si>
  <si>
    <t>ASP education</t>
  </si>
  <si>
    <t>Discontinue therapy</t>
  </si>
  <si>
    <t>Total No. of Interventions</t>
  </si>
  <si>
    <t>Ciprofloxacin 400mg IV q12h</t>
  </si>
  <si>
    <t>Ciprofloxacin 500mg PO q12h</t>
  </si>
  <si>
    <t>Ampicillin-sulbactam 3g IV q6h</t>
  </si>
  <si>
    <t>Ampicillin-sulbactam 3g IV q12h</t>
  </si>
  <si>
    <t>NA</t>
  </si>
  <si>
    <t>Vancomycin 1g IV q48h</t>
  </si>
  <si>
    <t>Meropenem 500mg IV q6h</t>
  </si>
  <si>
    <t>Cefazolin 1g IV q8h</t>
  </si>
  <si>
    <t>Piperacillin-tazobactam 4.5g IV q8h</t>
  </si>
  <si>
    <t>Piperacillin-tazobactam 2.25g iv q8h</t>
  </si>
  <si>
    <t>Vancomycin 1g IV q12h</t>
  </si>
  <si>
    <t>Ceftriaxone 1g iv q24h</t>
  </si>
  <si>
    <t>Cefepime 1g iv q6h</t>
  </si>
  <si>
    <t>Cefepime 1g IV q8h</t>
  </si>
  <si>
    <t>Cephalexin 500mg PO q6h</t>
  </si>
  <si>
    <t>Yes</t>
  </si>
  <si>
    <t>No</t>
  </si>
  <si>
    <t>yes</t>
  </si>
  <si>
    <t>FEBRUARY INTERVENTIONS</t>
  </si>
  <si>
    <t>De-Escalation</t>
  </si>
  <si>
    <t>ASP Education</t>
  </si>
  <si>
    <t>MARCH INTERVENTIONS</t>
  </si>
  <si>
    <t>APRIL INTERVENTIONS</t>
  </si>
  <si>
    <t>ASP Intervention Trend by Month</t>
  </si>
  <si>
    <t>Types of Interventions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</si>
  <si>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</si>
  <si>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</si>
  <si>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</si>
  <si>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</si>
  <si>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</si>
  <si>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</si>
  <si>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</si>
  <si>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</si>
  <si>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</si>
  <si>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</si>
  <si>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</si>
  <si>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</si>
  <si>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</si>
  <si>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Trend</t>
  </si>
  <si>
    <t>Resolve Bug-Drug Mismatch</t>
  </si>
  <si>
    <t>Number of Patients Reviewed</t>
  </si>
  <si>
    <t>Number of Intervention</t>
  </si>
  <si>
    <t>Intervention Acceptance Rate</t>
  </si>
  <si>
    <t>JANUARY TOTAL</t>
  </si>
  <si>
    <t>Acceptance Rate</t>
  </si>
  <si>
    <t>J</t>
  </si>
  <si>
    <t>Discontinued therapy</t>
  </si>
  <si>
    <t>Discontinued Therapy</t>
  </si>
  <si>
    <t>Vancomycin 1.5g IV q12h</t>
  </si>
  <si>
    <t>Cefepime 1g IV q12h</t>
  </si>
  <si>
    <t>Interventions Accepted</t>
  </si>
  <si>
    <t>Total No. of Patients Reviewed</t>
  </si>
  <si>
    <t>MARCH TOTAL</t>
  </si>
  <si>
    <t>APRIL TOTAL</t>
  </si>
  <si>
    <t>Total No. of Interventions Accepted</t>
  </si>
  <si>
    <t>FEBRUARY TOTAL</t>
  </si>
  <si>
    <t>MAY INTERVENTIONS</t>
  </si>
  <si>
    <t>MAY TOTAL</t>
  </si>
  <si>
    <t>JUNE INTERVENTIONS</t>
  </si>
  <si>
    <t>JUNE TOTAL</t>
  </si>
  <si>
    <t>JULY INTERVENTIONS</t>
  </si>
  <si>
    <t>JULY TOTAL</t>
  </si>
  <si>
    <t>AUGUST INTERVENTIONS</t>
  </si>
  <si>
    <t>AUGUST TOTAL</t>
  </si>
  <si>
    <t>SEPTEMBER INTERVENTIONS</t>
  </si>
  <si>
    <t>SEPTEMBER TOTAL</t>
  </si>
  <si>
    <t>OCTOBER INTERVENTIONS</t>
  </si>
  <si>
    <t>OCTOBER TOTAL</t>
  </si>
  <si>
    <t>NOVEMBER INTERVENTIONS</t>
  </si>
  <si>
    <t>DECEMBER TOTAL</t>
  </si>
  <si>
    <t>NOVEMBER TOTAL</t>
  </si>
  <si>
    <t>DECEMBER INTERVENTIONS</t>
  </si>
  <si>
    <r>
      <t xml:space="preserve">ASP Intervention Database Template                                                                                   </t>
    </r>
    <r>
      <rPr>
        <b/>
        <sz val="36"/>
        <color rgb="FFC00000"/>
        <rFont val="Calibri"/>
        <family val="2"/>
        <scheme val="minor"/>
      </rPr>
      <t>[Insert Facility Logo]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</si>
</sst>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Elephant"/>
      <family val="1"/>
    </font>
    <font>
      <sz val="18"/>
      <color theme="0"/>
      <name val="Elephant"/>
      <family val="1"/>
    </font>
    <font>
      <b/>
      <sz val="18"/>
      <color theme="0"/>
      <name val="Elephant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 tint="0.249977111117893"/>
      <name val="Elephant"/>
      <family val="1"/>
    </font>
    <font>
      <sz val="24"/>
      <color theme="1" tint="0.34998626667073579"/>
      <name val="Calibri"/>
      <family val="2"/>
      <scheme val="minor"/>
    </font>
    <font>
      <sz val="18"/>
      <color theme="1"/>
      <name val="Elephant"/>
      <family val="1"/>
    </font>
    <font>
      <b/>
      <sz val="18"/>
      <color theme="1"/>
      <name val="Elephant"/>
      <family val="1"/>
    </font>
    <font>
      <b/>
      <sz val="36"/>
      <color rgb="FFC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0" fillId="3" borderId="0" xfId="0" applyFill="1" applyAlignment="1">
      <alignment horizontal="left"/>
    </xf>
    <xf numFmtId="0" fontId="0" fillId="5" borderId="7" xfId="0" applyFill="1" applyBorder="1" applyAlignment="1">
      <alignment horizontal="left" indent="1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0" fillId="0" borderId="0" xfId="0" applyFill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9" fontId="1" fillId="0" borderId="20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2" xfId="0" applyFont="1" applyBorder="1"/>
    <xf numFmtId="0" fontId="0" fillId="5" borderId="22" xfId="0" applyFill="1" applyBorder="1" applyAlignment="1">
      <alignment horizontal="left" indent="1"/>
    </xf>
    <xf numFmtId="0" fontId="0" fillId="5" borderId="4" xfId="0" applyFont="1" applyFill="1" applyBorder="1" applyAlignment="1">
      <alignment horizontal="left" indent="1"/>
    </xf>
    <xf numFmtId="0" fontId="0" fillId="5" borderId="7" xfId="0" applyFont="1" applyFill="1" applyBorder="1" applyAlignment="1">
      <alignment horizontal="left" indent="1"/>
    </xf>
    <xf numFmtId="0" fontId="0" fillId="5" borderId="10" xfId="0" applyFont="1" applyFill="1" applyBorder="1" applyAlignment="1">
      <alignment horizontal="left" indent="1"/>
    </xf>
    <xf numFmtId="9" fontId="0" fillId="5" borderId="25" xfId="1" applyFont="1" applyFill="1" applyBorder="1" applyAlignment="1">
      <alignment horizontal="left" indent="1"/>
    </xf>
    <xf numFmtId="0" fontId="0" fillId="3" borderId="0" xfId="0" applyFill="1"/>
    <xf numFmtId="0" fontId="0" fillId="0" borderId="0" xfId="0" applyBorder="1" applyAlignment="1">
      <alignment horizontal="left"/>
    </xf>
    <xf numFmtId="0" fontId="0" fillId="0" borderId="0" xfId="0" applyFill="1"/>
    <xf numFmtId="0" fontId="6" fillId="0" borderId="1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  <xf numFmtId="0" fontId="0" fillId="3" borderId="11" xfId="0" applyFont="1" applyFill="1" applyBorder="1" applyAlignment="1">
      <alignment horizontal="left"/>
    </xf>
    <xf numFmtId="0" fontId="0" fillId="3" borderId="23" xfId="0" applyFill="1" applyBorder="1"/>
    <xf numFmtId="0" fontId="0" fillId="3" borderId="8" xfId="0" applyFill="1" applyBorder="1"/>
    <xf numFmtId="0" fontId="0" fillId="3" borderId="26" xfId="0" applyFill="1" applyBorder="1"/>
    <xf numFmtId="0" fontId="0" fillId="3" borderId="4" xfId="0" applyFont="1" applyFill="1" applyBorder="1" applyAlignment="1">
      <alignment horizontal="left" indent="1"/>
    </xf>
    <xf numFmtId="0" fontId="0" fillId="3" borderId="7" xfId="0" applyFont="1" applyFill="1" applyBorder="1" applyAlignment="1">
      <alignment horizontal="left" indent="1"/>
    </xf>
    <xf numFmtId="0" fontId="0" fillId="3" borderId="10" xfId="0" applyFont="1" applyFill="1" applyBorder="1" applyAlignment="1">
      <alignment horizontal="left" indent="1"/>
    </xf>
    <xf numFmtId="0" fontId="0" fillId="3" borderId="22" xfId="0" applyFill="1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9" fontId="0" fillId="3" borderId="25" xfId="1" applyFont="1" applyFill="1" applyBorder="1" applyAlignment="1">
      <alignment horizontal="left" indent="1"/>
    </xf>
    <xf numFmtId="0" fontId="0" fillId="3" borderId="3" xfId="0" applyFont="1" applyFill="1" applyBorder="1" applyAlignment="1">
      <alignment horizontal="left" indent="1"/>
    </xf>
    <xf numFmtId="0" fontId="0" fillId="3" borderId="6" xfId="0" applyFont="1" applyFill="1" applyBorder="1" applyAlignment="1">
      <alignment horizontal="left" indent="1"/>
    </xf>
    <xf numFmtId="0" fontId="0" fillId="3" borderId="9" xfId="0" applyFont="1" applyFill="1" applyBorder="1" applyAlignment="1">
      <alignment horizontal="left" indent="1"/>
    </xf>
    <xf numFmtId="0" fontId="1" fillId="3" borderId="21" xfId="0" applyFont="1" applyFill="1" applyBorder="1" applyAlignment="1">
      <alignment horizontal="left" indent="1"/>
    </xf>
    <xf numFmtId="0" fontId="1" fillId="3" borderId="6" xfId="0" applyFont="1" applyFill="1" applyBorder="1" applyAlignment="1">
      <alignment horizontal="left" indent="1"/>
    </xf>
    <xf numFmtId="0" fontId="1" fillId="3" borderId="24" xfId="0" applyFont="1" applyFill="1" applyBorder="1" applyAlignment="1">
      <alignment horizontal="left" indent="1"/>
    </xf>
    <xf numFmtId="9" fontId="9" fillId="3" borderId="0" xfId="1" applyFont="1" applyFill="1" applyBorder="1" applyAlignment="1"/>
    <xf numFmtId="164" fontId="7" fillId="3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center"/>
    </xf>
    <xf numFmtId="9" fontId="9" fillId="3" borderId="0" xfId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0" fontId="11" fillId="11" borderId="16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0" fontId="11" fillId="13" borderId="15" xfId="0" applyFont="1" applyFill="1" applyBorder="1" applyAlignment="1">
      <alignment horizontal="center"/>
    </xf>
    <xf numFmtId="0" fontId="11" fillId="13" borderId="16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0" fontId="11" fillId="14" borderId="15" xfId="0" applyFont="1" applyFill="1" applyBorder="1" applyAlignment="1">
      <alignment horizontal="center"/>
    </xf>
    <xf numFmtId="0" fontId="11" fillId="14" borderId="16" xfId="0" applyFont="1" applyFill="1" applyBorder="1" applyAlignment="1">
      <alignment horizontal="center"/>
    </xf>
    <xf numFmtId="0" fontId="10" fillId="12" borderId="0" xfId="0" applyFont="1" applyFill="1" applyBorder="1" applyAlignment="1">
      <alignment horizontal="center"/>
    </xf>
    <xf numFmtId="0" fontId="11" fillId="12" borderId="15" xfId="0" applyFont="1" applyFill="1" applyBorder="1" applyAlignment="1">
      <alignment horizontal="center"/>
    </xf>
    <xf numFmtId="0" fontId="11" fillId="12" borderId="1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11" fillId="10" borderId="16" xfId="0" applyFont="1" applyFill="1" applyBorder="1" applyAlignment="1">
      <alignment horizontal="center"/>
    </xf>
    <xf numFmtId="0" fontId="10" fillId="15" borderId="0" xfId="0" applyFont="1" applyFill="1" applyBorder="1" applyAlignment="1">
      <alignment horizontal="center"/>
    </xf>
    <xf numFmtId="0" fontId="11" fillId="15" borderId="15" xfId="0" applyFont="1" applyFill="1" applyBorder="1" applyAlignment="1">
      <alignment horizontal="center"/>
    </xf>
    <xf numFmtId="0" fontId="11" fillId="15" borderId="16" xfId="0" applyFont="1" applyFill="1" applyBorder="1" applyAlignment="1">
      <alignment horizontal="center"/>
    </xf>
    <xf numFmtId="0" fontId="10" fillId="16" borderId="0" xfId="0" applyFont="1" applyFill="1" applyBorder="1" applyAlignment="1">
      <alignment horizontal="center"/>
    </xf>
    <xf numFmtId="0" fontId="11" fillId="16" borderId="15" xfId="0" applyFont="1" applyFill="1" applyBorder="1" applyAlignment="1">
      <alignment horizontal="center"/>
    </xf>
    <xf numFmtId="0" fontId="11" fillId="16" borderId="1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26"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m/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numFmt numFmtId="164" formatCode="m/d/yy;@"/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numFmt numFmtId="164" formatCode="m/d/yy;@"/>
      <alignment horizontal="left" vertical="bottom" textRotation="0" wrapText="0" relativeIndent="-1" justifyLastLine="0" shrinkToFit="0" readingOrder="0"/>
    </dxf>
    <dxf>
      <alignment horizontal="left" vertical="bottom" textRotation="0" wrapText="0" relativeIndent="-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numFmt numFmtId="164" formatCode="m/d/yy;@"/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 tint="-0.14999847407452621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relativeIndent="-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 tint="-0.14999847407452621"/>
        </patternFill>
      </fill>
      <alignment horizontal="left" vertical="bottom" textRotation="0" wrapText="0" relativeIndent="-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relativeIndent="-1" justifyLastLine="0" shrinkToFit="0" readingOrder="0"/>
      <border diagonalUp="0" diagonalDown="0" outline="0">
        <left/>
        <right/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 tint="-0.14999847407452621"/>
        </patternFill>
      </fill>
      <alignment horizontal="left" vertical="bottom" textRotation="0" wrapText="0" relativeIndent="-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relativeIndent="-1" justifyLastLine="0" shrinkToFit="0" readingOrder="0"/>
      <border diagonalUp="0" diagonalDown="0" outline="0">
        <left/>
        <right/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 tint="-0.14999847407452621"/>
        </patternFill>
      </fill>
      <alignment horizontal="left" vertical="bottom" textRotation="0" wrapText="0" relativeIndent="-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relativeIndent="-1" justifyLastLine="0" shrinkToFit="0" readingOrder="0"/>
      <border diagonalUp="0" diagonalDown="0" outline="0">
        <left/>
        <right/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relativeIndent="-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relativeIndent="-1" justifyLastLine="0" shrinkToFit="0" readingOrder="0"/>
      <border diagonalUp="0" diagonalDown="0" outline="0">
        <left/>
        <right/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relativeIndent="-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relativeIndent="-1" justifyLastLine="0" shrinkToFit="0" readingOrder="0"/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relativeIndent="1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relativeIndent="1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relativeIndent="1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Elephant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2098543743139"/>
          <c:y val="2.1857233599061072E-2"/>
          <c:w val="0.74791337050322804"/>
          <c:h val="0.83391149023038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summary!$A$4</c:f>
              <c:strCache>
                <c:ptCount val="1"/>
                <c:pt idx="0">
                  <c:v>IV to PO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summary!$B$4:$M$4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summary!$A$5</c:f>
              <c:strCache>
                <c:ptCount val="1"/>
                <c:pt idx="0">
                  <c:v>Dose adjustment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summary!$B$5:$M$5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summary!$A$6</c:f>
              <c:strCache>
                <c:ptCount val="1"/>
                <c:pt idx="0">
                  <c:v>PK consultation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summary!$B$6:$M$6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summary!$A$7</c:f>
              <c:strCache>
                <c:ptCount val="1"/>
                <c:pt idx="0">
                  <c:v>De-escalation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summary!$B$7:$M$7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summary!$A$8</c:f>
              <c:strCache>
                <c:ptCount val="1"/>
                <c:pt idx="0">
                  <c:v>Discontinued therapy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summary!$B$3:$M$3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summary!$B$8:$M$8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5"/>
          <c:order val="5"/>
          <c:tx>
            <c:strRef>
              <c:f>summary!$A$9</c:f>
              <c:strCache>
                <c:ptCount val="1"/>
                <c:pt idx="0">
                  <c:v>Resolve Bug-Drug Mismatch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summary!$B$3:$M$3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summary!$B$9:$M$9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summary!$A$10</c:f>
              <c:strCache>
                <c:ptCount val="1"/>
                <c:pt idx="0">
                  <c:v>ASP education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summary!$B$3:$M$3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summary!$B$10:$M$10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7721072"/>
        <c:axId val="387721464"/>
      </c:barChart>
      <c:lineChart>
        <c:grouping val="standard"/>
        <c:varyColors val="0"/>
        <c:ser>
          <c:idx val="7"/>
          <c:order val="7"/>
          <c:tx>
            <c:strRef>
              <c:f>summary!$A$14</c:f>
              <c:strCache>
                <c:ptCount val="1"/>
                <c:pt idx="0">
                  <c:v>Intervention Acceptance Rate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summary!$B$14:$M$14</c:f>
              <c:numCache>
                <c:formatCode>0%</c:formatCode>
                <c:ptCount val="12"/>
                <c:pt idx="0">
                  <c:v>0.6428571428571429</c:v>
                </c:pt>
                <c:pt idx="1">
                  <c:v>0.625</c:v>
                </c:pt>
                <c:pt idx="2">
                  <c:v>0.5</c:v>
                </c:pt>
                <c:pt idx="3">
                  <c:v>0.66666666666666663</c:v>
                </c:pt>
                <c:pt idx="4">
                  <c:v>0</c:v>
                </c:pt>
                <c:pt idx="5">
                  <c:v>0.5714285714285714</c:v>
                </c:pt>
                <c:pt idx="6">
                  <c:v>0.5</c:v>
                </c:pt>
                <c:pt idx="7">
                  <c:v>0.4</c:v>
                </c:pt>
                <c:pt idx="8">
                  <c:v>0.33333333333333331</c:v>
                </c:pt>
                <c:pt idx="9">
                  <c:v>0.5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719896"/>
        <c:axId val="387723816"/>
      </c:lineChart>
      <c:catAx>
        <c:axId val="3877210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7721464"/>
        <c:crosses val="autoZero"/>
        <c:auto val="1"/>
        <c:lblAlgn val="ctr"/>
        <c:lblOffset val="100"/>
        <c:noMultiLvlLbl val="0"/>
      </c:catAx>
      <c:valAx>
        <c:axId val="38772146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</a:t>
                </a:r>
                <a:r>
                  <a:rPr lang="en-US" sz="1100" b="1" baseline="0">
                    <a:solidFill>
                      <a:schemeClr val="tx1"/>
                    </a:solidFill>
                  </a:rPr>
                  <a:t> of Interventions</a:t>
                </a:r>
                <a:endParaRPr lang="en-US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9.6816721960333016E-2"/>
              <c:y val="0.23576417368477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721072"/>
        <c:crosses val="autoZero"/>
        <c:crossBetween val="between"/>
        <c:majorUnit val="1"/>
      </c:valAx>
      <c:valAx>
        <c:axId val="387723816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Intervention</a:t>
                </a:r>
                <a:r>
                  <a:rPr lang="en-US" sz="1100" b="1" baseline="0">
                    <a:solidFill>
                      <a:schemeClr val="tx1"/>
                    </a:solidFill>
                  </a:rPr>
                  <a:t> Acceptance Rate</a:t>
                </a:r>
                <a:endParaRPr 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719896"/>
        <c:crosses val="max"/>
        <c:crossBetween val="between"/>
        <c:majorUnit val="0.2"/>
      </c:valAx>
      <c:catAx>
        <c:axId val="387719896"/>
        <c:scaling>
          <c:orientation val="minMax"/>
        </c:scaling>
        <c:delete val="1"/>
        <c:axPos val="b"/>
        <c:majorTickMark val="out"/>
        <c:minorTickMark val="none"/>
        <c:tickLblPos val="nextTo"/>
        <c:crossAx val="38772381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0</xdr:row>
      <xdr:rowOff>19050</xdr:rowOff>
    </xdr:from>
    <xdr:to>
      <xdr:col>14</xdr:col>
      <xdr:colOff>862965</xdr:colOff>
      <xdr:row>1</xdr:row>
      <xdr:rowOff>25717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9050"/>
          <a:ext cx="2377440" cy="98774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119064</xdr:colOff>
      <xdr:row>17</xdr:row>
      <xdr:rowOff>3570</xdr:rowOff>
    </xdr:from>
    <xdr:to>
      <xdr:col>14</xdr:col>
      <xdr:colOff>797718</xdr:colOff>
      <xdr:row>35</xdr:row>
      <xdr:rowOff>130967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16</xdr:row>
      <xdr:rowOff>257175</xdr:rowOff>
    </xdr:from>
    <xdr:to>
      <xdr:col>3</xdr:col>
      <xdr:colOff>1676400</xdr:colOff>
      <xdr:row>19</xdr:row>
      <xdr:rowOff>66675</xdr:rowOff>
    </xdr:to>
    <xdr:grpSp>
      <xdr:nvGrpSpPr>
        <xdr:cNvPr id="5" name="Group 4"/>
        <xdr:cNvGrpSpPr/>
      </xdr:nvGrpSpPr>
      <xdr:grpSpPr>
        <a:xfrm>
          <a:off x="419100" y="5438775"/>
          <a:ext cx="5314950" cy="781050"/>
          <a:chOff x="419100" y="5438775"/>
          <a:chExt cx="5314950" cy="781050"/>
        </a:xfrm>
      </xdr:grpSpPr>
      <xdr:sp macro="" textlink="">
        <xdr:nvSpPr>
          <xdr:cNvPr id="2" name="TextBox 1"/>
          <xdr:cNvSpPr txBox="1"/>
        </xdr:nvSpPr>
        <xdr:spPr>
          <a:xfrm>
            <a:off x="1895475" y="5553075"/>
            <a:ext cx="3838575" cy="666750"/>
          </a:xfrm>
          <a:prstGeom prst="rect">
            <a:avLst/>
          </a:prstGeom>
          <a:solidFill>
            <a:srgbClr val="0070C0"/>
          </a:solidFill>
          <a:ln w="25400" cmpd="sng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bg1"/>
                </a:solidFill>
              </a:rPr>
              <a:t>Type</a:t>
            </a:r>
            <a:r>
              <a:rPr lang="en-US" sz="1100" b="1" baseline="0">
                <a:solidFill>
                  <a:schemeClr val="bg1"/>
                </a:solidFill>
              </a:rPr>
              <a:t> additional data in the next row.  Summary data for this month will be automatically updated in cells J2 to J5 and in the summary tab.	</a:t>
            </a:r>
            <a:endParaRPr lang="en-US" sz="1100" b="1">
              <a:solidFill>
                <a:schemeClr val="bg1"/>
              </a:solidFill>
            </a:endParaRPr>
          </a:p>
        </xdr:txBody>
      </xdr:sp>
      <xdr:cxnSp macro="">
        <xdr:nvCxnSpPr>
          <xdr:cNvPr id="4" name="Straight Arrow Connector 3"/>
          <xdr:cNvCxnSpPr>
            <a:stCxn id="2" idx="1"/>
          </xdr:cNvCxnSpPr>
        </xdr:nvCxnSpPr>
        <xdr:spPr>
          <a:xfrm flipH="1" flipV="1">
            <a:off x="419100" y="5438775"/>
            <a:ext cx="1476375" cy="447675"/>
          </a:xfrm>
          <a:prstGeom prst="straightConnector1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tailEnd type="triangle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AP%20Facility%20Specific%20Documents/Acute%20Care/Brodstone%20Memorial/Sample%20ASP%20Intervention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Sample ASP Intervention Datab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4" name="sum" displayName="sum" ref="A3:N10" totalsRowShown="0" headerRowDxfId="125" dataDxfId="123" headerRowBorderDxfId="124">
  <autoFilter ref="A3:N10"/>
  <tableColumns count="14">
    <tableColumn id="1" name="Types of Interventions" dataDxfId="122"/>
    <tableColumn id="2" name="Jan" dataDxfId="121"/>
    <tableColumn id="3" name="Feb" dataDxfId="120">
      <calculatedColumnFormula>COUNTIF(jan[Intervention Type],sum[[#This Row],[Types of Interventions]])</calculatedColumnFormula>
    </tableColumn>
    <tableColumn id="4" name="Mar" dataDxfId="119">
      <calculatedColumnFormula>COUNTIF(jan[Intervention Type],sum[[#This Row],[Types of Interventions]])</calculatedColumnFormula>
    </tableColumn>
    <tableColumn id="5" name="Apr" dataDxfId="118">
      <calculatedColumnFormula>COUNTIF(jan[Intervention Type],sum[[#This Row],[Types of Interventions]])</calculatedColumnFormula>
    </tableColumn>
    <tableColumn id="6" name="May" dataDxfId="117">
      <calculatedColumnFormula>COUNTIF(jan[Intervention Type],sum[[#This Row],[Types of Interventions]])</calculatedColumnFormula>
    </tableColumn>
    <tableColumn id="7" name="Jun" dataDxfId="116">
      <calculatedColumnFormula>COUNTIF(jan[Intervention Type],sum[[#This Row],[Types of Interventions]])</calculatedColumnFormula>
    </tableColumn>
    <tableColumn id="8" name="Jul" dataDxfId="115">
      <calculatedColumnFormula>COUNTIF(jan[Intervention Type],sum[[#This Row],[Types of Interventions]])</calculatedColumnFormula>
    </tableColumn>
    <tableColumn id="9" name="Aug" dataDxfId="114">
      <calculatedColumnFormula>COUNTIF(jan[Intervention Type],sum[[#This Row],[Types of Interventions]])</calculatedColumnFormula>
    </tableColumn>
    <tableColumn id="10" name="Sep" dataDxfId="113">
      <calculatedColumnFormula>COUNTIF(jan[Intervention Type],sum[[#This Row],[Types of Interventions]])</calculatedColumnFormula>
    </tableColumn>
    <tableColumn id="11" name="Oct" dataDxfId="112">
      <calculatedColumnFormula>COUNTIF(jan[Intervention Type],sum[[#This Row],[Types of Interventions]])</calculatedColumnFormula>
    </tableColumn>
    <tableColumn id="12" name="Nov" dataDxfId="111">
      <calculatedColumnFormula>COUNTIF(jan[Intervention Type],sum[[#This Row],[Types of Interventions]])</calculatedColumnFormula>
    </tableColumn>
    <tableColumn id="13" name="Dec" dataDxfId="110">
      <calculatedColumnFormula>COUNTIF(jan[Intervention Type],sum[[#This Row],[Types of Interventions]])</calculatedColumnFormula>
    </tableColumn>
    <tableColumn id="14" name="Total" dataDxfId="109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9" name="sep" displayName="sep" ref="A2:G8" totalsRowShown="0" headerRowDxfId="35" dataDxfId="34">
  <autoFilter ref="A2:G8"/>
  <tableColumns count="7">
    <tableColumn id="1" name="Date" dataDxfId="33"/>
    <tableColumn id="2" name="Patient" dataDxfId="32"/>
    <tableColumn id="3" name="MRN" dataDxfId="31"/>
    <tableColumn id="4" name="Intervention Type" dataDxfId="30"/>
    <tableColumn id="5" name="Initial Regimen" dataDxfId="29"/>
    <tableColumn id="6" name="Recommended Regimen" dataDxfId="28"/>
    <tableColumn id="7" name="Intervention Accepted?" dataDxfId="27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10" name="oct" displayName="oct" ref="A2:G8" totalsRowShown="0" headerRowDxfId="26" dataDxfId="25">
  <autoFilter ref="A2:G8"/>
  <tableColumns count="7">
    <tableColumn id="1" name="Date" dataDxfId="24"/>
    <tableColumn id="2" name="Patient" dataDxfId="23"/>
    <tableColumn id="3" name="MRN" dataDxfId="22"/>
    <tableColumn id="4" name="Intervention Type" dataDxfId="21"/>
    <tableColumn id="5" name="Initial Regimen" dataDxfId="20"/>
    <tableColumn id="6" name="Recommended Regimen" dataDxfId="19"/>
    <tableColumn id="7" name="Intervention Accepted?" dataDxfId="18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id="11" name="nov" displayName="nov" ref="A2:G5" totalsRowShown="0" headerRowDxfId="17" dataDxfId="16">
  <autoFilter ref="A2:G5"/>
  <tableColumns count="7">
    <tableColumn id="1" name="Date" dataDxfId="15"/>
    <tableColumn id="2" name="Patient" dataDxfId="14"/>
    <tableColumn id="3" name="MRN" dataDxfId="13"/>
    <tableColumn id="4" name="Intervention Type" dataDxfId="12"/>
    <tableColumn id="5" name="Initial Regimen" dataDxfId="11"/>
    <tableColumn id="6" name="Recommended Regimen" dataDxfId="10"/>
    <tableColumn id="7" name="Intervention Accepted?" dataDxfId="9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id="12" name="dec" displayName="dec" ref="A2:G3" totalsRowShown="0" headerRowDxfId="8" dataDxfId="7">
  <autoFilter ref="A2:G3"/>
  <tableColumns count="7">
    <tableColumn id="1" name="Date" dataDxfId="6"/>
    <tableColumn id="2" name="Patient" dataDxfId="5"/>
    <tableColumn id="3" name="MRN" dataDxfId="4"/>
    <tableColumn id="4" name="Intervention Type" dataDxfId="3"/>
    <tableColumn id="5" name="Initial Regimen" dataDxfId="2"/>
    <tableColumn id="6" name="Recommended Regimen" dataDxfId="1"/>
    <tableColumn id="7" name="Intervention Accepted?" dataDxfId="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jan" displayName="jan" ref="A2:G16" totalsRowShown="0" headerRowDxfId="108" dataDxfId="107" tableBorderDxfId="106">
  <autoFilter ref="A2:G16"/>
  <tableColumns count="7">
    <tableColumn id="1" name="Date" dataDxfId="105"/>
    <tableColumn id="2" name="Patient" dataDxfId="104"/>
    <tableColumn id="3" name="MRN" dataDxfId="103"/>
    <tableColumn id="4" name="Intervention Type" dataDxfId="102"/>
    <tableColumn id="5" name="Initial Regimen" dataDxfId="101"/>
    <tableColumn id="6" name="Recommended Regimen" dataDxfId="100"/>
    <tableColumn id="7" name="Intervention Accepted?" dataDxfId="9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1" name="feb" displayName="feb" ref="A2:G10" totalsRowShown="0" headerRowDxfId="98" dataDxfId="97">
  <autoFilter ref="A2:G10"/>
  <tableColumns count="7">
    <tableColumn id="1" name="Date" dataDxfId="96"/>
    <tableColumn id="2" name="Patient" dataDxfId="95"/>
    <tableColumn id="3" name="MRN" dataDxfId="94"/>
    <tableColumn id="4" name="Intervention Type" dataDxfId="93"/>
    <tableColumn id="5" name="Initial Regimen" dataDxfId="92"/>
    <tableColumn id="6" name="Recommended Regimen" dataDxfId="91"/>
    <tableColumn id="7" name="Intervention Accepted?" dataDxfId="90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3" name="mar" displayName="mar" ref="A2:G4" totalsRowShown="0" headerRowDxfId="89" dataDxfId="88">
  <autoFilter ref="A2:G4"/>
  <tableColumns count="7">
    <tableColumn id="1" name="Date" dataDxfId="87"/>
    <tableColumn id="2" name="Patient" dataDxfId="86"/>
    <tableColumn id="3" name="MRN" dataDxfId="85"/>
    <tableColumn id="4" name="Intervention Type" dataDxfId="84"/>
    <tableColumn id="5" name="Initial Regimen" dataDxfId="83"/>
    <tableColumn id="6" name="Recommended Regimen" dataDxfId="82"/>
    <tableColumn id="7" name="Intervention Accepted?" dataDxfId="81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4" name="apr" displayName="apr" ref="A2:G5" totalsRowShown="0" headerRowDxfId="80" dataDxfId="79">
  <autoFilter ref="A2:G5"/>
  <tableColumns count="7">
    <tableColumn id="1" name="Date" dataDxfId="78"/>
    <tableColumn id="2" name="Patient" dataDxfId="77"/>
    <tableColumn id="3" name="MRN" dataDxfId="76"/>
    <tableColumn id="4" name="Intervention Type" dataDxfId="75"/>
    <tableColumn id="5" name="Initial Regimen" dataDxfId="74"/>
    <tableColumn id="6" name="Recommended Regimen" dataDxfId="73"/>
    <tableColumn id="7" name="Intervention Accepted?" dataDxfId="72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5" name="may" displayName="may" ref="A2:G3" totalsRowShown="0" headerRowDxfId="71" dataDxfId="70">
  <autoFilter ref="A2:G3"/>
  <tableColumns count="7">
    <tableColumn id="1" name="Date" dataDxfId="69"/>
    <tableColumn id="2" name="Patient" dataDxfId="68"/>
    <tableColumn id="3" name="MRN" dataDxfId="67"/>
    <tableColumn id="4" name="Intervention Type" dataDxfId="66"/>
    <tableColumn id="5" name="Initial Regimen" dataDxfId="65"/>
    <tableColumn id="6" name="Recommended Regimen" dataDxfId="64"/>
    <tableColumn id="7" name="Intervention Accepted?" dataDxfId="6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6" name="jun" displayName="jun" ref="A2:G9" totalsRowShown="0" headerRowDxfId="62" dataDxfId="61">
  <autoFilter ref="A2:G9"/>
  <tableColumns count="7">
    <tableColumn id="1" name="Date" dataDxfId="60"/>
    <tableColumn id="2" name="Patient" dataDxfId="59"/>
    <tableColumn id="3" name="MRN" dataDxfId="58"/>
    <tableColumn id="4" name="Intervention Type" dataDxfId="57"/>
    <tableColumn id="5" name="Initial Regimen" dataDxfId="56"/>
    <tableColumn id="6" name="Recommended Regimen" dataDxfId="55"/>
    <tableColumn id="7" name="Intervention Accepted?" dataDxfId="54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7" name="jul" displayName="jul" ref="A2:G6" totalsRowShown="0" headerRowDxfId="53" dataDxfId="52">
  <autoFilter ref="A2:G6"/>
  <tableColumns count="7">
    <tableColumn id="1" name="Date" dataDxfId="51"/>
    <tableColumn id="2" name="Patient" dataDxfId="50"/>
    <tableColumn id="3" name="MRN" dataDxfId="49"/>
    <tableColumn id="4" name="Intervention Type" dataDxfId="48"/>
    <tableColumn id="5" name="Initial Regimen" dataDxfId="47"/>
    <tableColumn id="6" name="Recommended Regimen" dataDxfId="46"/>
    <tableColumn id="7" name="Intervention Accepted?" dataDxfId="4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8" name="aug" displayName="aug" ref="A2:G7" totalsRowShown="0" headerRowDxfId="44" dataDxfId="43">
  <autoFilter ref="A2:G7"/>
  <tableColumns count="7">
    <tableColumn id="1" name="Date" dataDxfId="42"/>
    <tableColumn id="2" name="Patient" dataDxfId="41"/>
    <tableColumn id="3" name="MRN" dataDxfId="40"/>
    <tableColumn id="4" name="Intervention Type" dataDxfId="39"/>
    <tableColumn id="5" name="Initial Regimen" dataDxfId="38"/>
    <tableColumn id="6" name="Recommended Regimen" dataDxfId="37"/>
    <tableColumn id="7" name="Intervention Accepted?" dataDxfId="36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7"/>
  <sheetViews>
    <sheetView tabSelected="1" zoomScale="80" zoomScaleNormal="80" workbookViewId="0">
      <selection activeCell="A2" sqref="A2:O2"/>
    </sheetView>
  </sheetViews>
  <sheetFormatPr defaultRowHeight="14.4"/>
  <cols>
    <col min="1" max="1" width="31" customWidth="1"/>
    <col min="2" max="15" width="13.578125" customWidth="1"/>
  </cols>
  <sheetData>
    <row r="1" spans="1:15" ht="77.25" customHeight="1">
      <c r="A1" s="54" t="s">
        <v>97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9.25" customHeight="1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7" thickBot="1">
      <c r="A3" s="25" t="s">
        <v>49</v>
      </c>
      <c r="B3" s="25" t="s">
        <v>50</v>
      </c>
      <c r="C3" s="25" t="s">
        <v>51</v>
      </c>
      <c r="D3" s="25" t="s">
        <v>52</v>
      </c>
      <c r="E3" s="25" t="s">
        <v>53</v>
      </c>
      <c r="F3" s="25" t="s">
        <v>54</v>
      </c>
      <c r="G3" s="25" t="s">
        <v>55</v>
      </c>
      <c r="H3" s="25" t="s">
        <v>56</v>
      </c>
      <c r="I3" s="25" t="s">
        <v>57</v>
      </c>
      <c r="J3" s="25" t="s">
        <v>58</v>
      </c>
      <c r="K3" s="25" t="s">
        <v>59</v>
      </c>
      <c r="L3" s="25" t="s">
        <v>60</v>
      </c>
      <c r="M3" s="25" t="s">
        <v>61</v>
      </c>
      <c r="N3" s="25" t="s">
        <v>62</v>
      </c>
      <c r="O3" s="25" t="s">
        <v>63</v>
      </c>
    </row>
    <row r="4" spans="1:15" ht="29.25" customHeight="1">
      <c r="A4" s="47" t="s">
        <v>17</v>
      </c>
      <c r="B4" s="27">
        <f>COUNTIF(jan[Intervention Type],sum[[#This Row],[Types of Interventions]])</f>
        <v>1</v>
      </c>
      <c r="C4" s="41">
        <f>COUNTIF(feb[Intervention Type],sum[[#This Row],[Types of Interventions]])</f>
        <v>1</v>
      </c>
      <c r="D4" s="27">
        <f>COUNTIF(mar[Intervention Type],sum[[#This Row],[Types of Interventions]])</f>
        <v>1</v>
      </c>
      <c r="E4" s="41">
        <f>COUNTIF(apr[Intervention Type],sum[[#This Row],[Types of Interventions]])</f>
        <v>0</v>
      </c>
      <c r="F4" s="27">
        <f>COUNTIF(may[Intervention Type],sum[[#This Row],[Types of Interventions]])</f>
        <v>0</v>
      </c>
      <c r="G4" s="41">
        <f>COUNTIF(jun[Intervention Type],sum[[#This Row],[Types of Interventions]])</f>
        <v>0</v>
      </c>
      <c r="H4" s="27">
        <f>COUNTIF(jul[Intervention Type],sum[[#This Row],[Types of Interventions]])</f>
        <v>0</v>
      </c>
      <c r="I4" s="41">
        <f>COUNTIF(aug[Intervention Type],sum[[#This Row],[Types of Interventions]])</f>
        <v>0</v>
      </c>
      <c r="J4" s="27">
        <f>COUNTIF(sep[Intervention Type],sum[[#This Row],[Types of Interventions]])</f>
        <v>0</v>
      </c>
      <c r="K4" s="41">
        <f>COUNTIF(oct[Intervention Type],sum[[#This Row],[Types of Interventions]])</f>
        <v>0</v>
      </c>
      <c r="L4" s="27">
        <f>COUNTIF(nov[Intervention Type],sum[[#This Row],[Types of Interventions]])</f>
        <v>1</v>
      </c>
      <c r="M4" s="41">
        <f>COUNTIF(dec[Intervention Type],sum[[#This Row],[Types of Interventions]])</f>
        <v>0</v>
      </c>
      <c r="N4" s="27">
        <f>SUBTOTAL(109,sum[[#This Row],[Jan]:[Dec]])</f>
        <v>4</v>
      </c>
      <c r="O4" s="35"/>
    </row>
    <row r="5" spans="1:15" ht="29.25" customHeight="1">
      <c r="A5" s="48" t="s">
        <v>18</v>
      </c>
      <c r="B5" s="28">
        <f>COUNTIF(jan[Intervention Type],sum[[#This Row],[Types of Interventions]])</f>
        <v>2</v>
      </c>
      <c r="C5" s="42">
        <f>COUNTIF(feb[Intervention Type],sum[[#This Row],[Types of Interventions]])</f>
        <v>3</v>
      </c>
      <c r="D5" s="28">
        <f>COUNTIF(mar[Intervention Type],sum[[#This Row],[Types of Interventions]])</f>
        <v>1</v>
      </c>
      <c r="E5" s="42">
        <f>COUNTIF(apr[Intervention Type],sum[[#This Row],[Types of Interventions]])</f>
        <v>1</v>
      </c>
      <c r="F5" s="28">
        <f>COUNTIF(may[Intervention Type],sum[[#This Row],[Types of Interventions]])</f>
        <v>0</v>
      </c>
      <c r="G5" s="42">
        <f>COUNTIF(jun[Intervention Type],sum[[#This Row],[Types of Interventions]])</f>
        <v>0</v>
      </c>
      <c r="H5" s="28">
        <f>COUNTIF(jul[Intervention Type],sum[[#This Row],[Types of Interventions]])</f>
        <v>1</v>
      </c>
      <c r="I5" s="42">
        <f>COUNTIF(aug[Intervention Type],sum[[#This Row],[Types of Interventions]])</f>
        <v>0</v>
      </c>
      <c r="J5" s="28">
        <f>COUNTIF(sep[Intervention Type],sum[[#This Row],[Types of Interventions]])</f>
        <v>2</v>
      </c>
      <c r="K5" s="42">
        <f>COUNTIF(oct[Intervention Type],sum[[#This Row],[Types of Interventions]])</f>
        <v>1</v>
      </c>
      <c r="L5" s="28">
        <f>COUNTIF(nov[Intervention Type],sum[[#This Row],[Types of Interventions]])</f>
        <v>0</v>
      </c>
      <c r="M5" s="42">
        <f>COUNTIF(dec[Intervention Type],sum[[#This Row],[Types of Interventions]])</f>
        <v>0</v>
      </c>
      <c r="N5" s="28">
        <f>SUBTOTAL(109,sum[[#This Row],[Jan]:[Dec]])</f>
        <v>11</v>
      </c>
      <c r="O5" s="36"/>
    </row>
    <row r="6" spans="1:15" ht="29.25" customHeight="1">
      <c r="A6" s="48" t="s">
        <v>19</v>
      </c>
      <c r="B6" s="28">
        <f>COUNTIF(jan[Intervention Type],sum[[#This Row],[Types of Interventions]])</f>
        <v>1</v>
      </c>
      <c r="C6" s="42">
        <f>COUNTIF(feb[Intervention Type],sum[[#This Row],[Types of Interventions]])</f>
        <v>1</v>
      </c>
      <c r="D6" s="28">
        <f>COUNTIF(mar[Intervention Type],sum[[#This Row],[Types of Interventions]])</f>
        <v>0</v>
      </c>
      <c r="E6" s="42">
        <f>COUNTIF(apr[Intervention Type],sum[[#This Row],[Types of Interventions]])</f>
        <v>0</v>
      </c>
      <c r="F6" s="28">
        <f>COUNTIF(may[Intervention Type],sum[[#This Row],[Types of Interventions]])</f>
        <v>0</v>
      </c>
      <c r="G6" s="42">
        <f>COUNTIF(jun[Intervention Type],sum[[#This Row],[Types of Interventions]])</f>
        <v>0</v>
      </c>
      <c r="H6" s="28">
        <f>COUNTIF(jul[Intervention Type],sum[[#This Row],[Types of Interventions]])</f>
        <v>0</v>
      </c>
      <c r="I6" s="42">
        <f>COUNTIF(aug[Intervention Type],sum[[#This Row],[Types of Interventions]])</f>
        <v>1</v>
      </c>
      <c r="J6" s="28">
        <f>COUNTIF(sep[Intervention Type],sum[[#This Row],[Types of Interventions]])</f>
        <v>0</v>
      </c>
      <c r="K6" s="42">
        <f>COUNTIF(oct[Intervention Type],sum[[#This Row],[Types of Interventions]])</f>
        <v>1</v>
      </c>
      <c r="L6" s="28">
        <f>COUNTIF(nov[Intervention Type],sum[[#This Row],[Types of Interventions]])</f>
        <v>1</v>
      </c>
      <c r="M6" s="42">
        <f>COUNTIF(dec[Intervention Type],sum[[#This Row],[Types of Interventions]])</f>
        <v>0</v>
      </c>
      <c r="N6" s="28">
        <f>SUBTOTAL(109,sum[[#This Row],[Jan]:[Dec]])</f>
        <v>5</v>
      </c>
      <c r="O6" s="36"/>
    </row>
    <row r="7" spans="1:15" ht="29.25" customHeight="1">
      <c r="A7" s="48" t="s">
        <v>20</v>
      </c>
      <c r="B7" s="28">
        <f>COUNTIF(jan[Intervention Type],sum[[#This Row],[Types of Interventions]])</f>
        <v>2</v>
      </c>
      <c r="C7" s="42">
        <f>COUNTIF(feb[Intervention Type],sum[[#This Row],[Types of Interventions]])</f>
        <v>1</v>
      </c>
      <c r="D7" s="28">
        <f>COUNTIF(mar[Intervention Type],sum[[#This Row],[Types of Interventions]])</f>
        <v>0</v>
      </c>
      <c r="E7" s="42">
        <f>COUNTIF(apr[Intervention Type],sum[[#This Row],[Types of Interventions]])</f>
        <v>0</v>
      </c>
      <c r="F7" s="28">
        <f>COUNTIF(may[Intervention Type],sum[[#This Row],[Types of Interventions]])</f>
        <v>1</v>
      </c>
      <c r="G7" s="42">
        <f>COUNTIF(jun[Intervention Type],sum[[#This Row],[Types of Interventions]])</f>
        <v>1</v>
      </c>
      <c r="H7" s="28">
        <f>COUNTIF(jul[Intervention Type],sum[[#This Row],[Types of Interventions]])</f>
        <v>0</v>
      </c>
      <c r="I7" s="42">
        <f>COUNTIF(aug[Intervention Type],sum[[#This Row],[Types of Interventions]])</f>
        <v>1</v>
      </c>
      <c r="J7" s="28">
        <f>COUNTIF(sep[Intervention Type],sum[[#This Row],[Types of Interventions]])</f>
        <v>2</v>
      </c>
      <c r="K7" s="42">
        <f>COUNTIF(oct[Intervention Type],sum[[#This Row],[Types of Interventions]])</f>
        <v>2</v>
      </c>
      <c r="L7" s="28">
        <f>COUNTIF(nov[Intervention Type],sum[[#This Row],[Types of Interventions]])</f>
        <v>1</v>
      </c>
      <c r="M7" s="42">
        <f>COUNTIF(dec[Intervention Type],sum[[#This Row],[Types of Interventions]])</f>
        <v>0</v>
      </c>
      <c r="N7" s="28">
        <f>SUBTOTAL(109,sum[[#This Row],[Jan]:[Dec]])</f>
        <v>11</v>
      </c>
      <c r="O7" s="36"/>
    </row>
    <row r="8" spans="1:15" ht="29.25" customHeight="1">
      <c r="A8" s="48" t="s">
        <v>71</v>
      </c>
      <c r="B8" s="28">
        <f>COUNTIF(jan[Intervention Type],sum[[#This Row],[Types of Interventions]])</f>
        <v>4</v>
      </c>
      <c r="C8" s="42">
        <f>COUNTIF(feb[Intervention Type],sum[[#This Row],[Types of Interventions]])</f>
        <v>1</v>
      </c>
      <c r="D8" s="28">
        <f>COUNTIF(mar[Intervention Type],sum[[#This Row],[Types of Interventions]])</f>
        <v>0</v>
      </c>
      <c r="E8" s="42">
        <f>COUNTIF(apr[Intervention Type],sum[[#This Row],[Types of Interventions]])</f>
        <v>1</v>
      </c>
      <c r="F8" s="28">
        <f>COUNTIF(may[Intervention Type],sum[[#This Row],[Types of Interventions]])</f>
        <v>0</v>
      </c>
      <c r="G8" s="42">
        <f>COUNTIF(jun[Intervention Type],sum[[#This Row],[Types of Interventions]])</f>
        <v>2</v>
      </c>
      <c r="H8" s="28">
        <f>COUNTIF(jul[Intervention Type],sum[[#This Row],[Types of Interventions]])</f>
        <v>2</v>
      </c>
      <c r="I8" s="42">
        <f>COUNTIF(aug[Intervention Type],sum[[#This Row],[Types of Interventions]])</f>
        <v>2</v>
      </c>
      <c r="J8" s="28">
        <f>COUNTIF(sep[Intervention Type],sum[[#This Row],[Types of Interventions]])</f>
        <v>2</v>
      </c>
      <c r="K8" s="42">
        <f>COUNTIF(oct[Intervention Type],sum[[#This Row],[Types of Interventions]])</f>
        <v>2</v>
      </c>
      <c r="L8" s="28">
        <f>COUNTIF(nov[Intervention Type],sum[[#This Row],[Types of Interventions]])</f>
        <v>0</v>
      </c>
      <c r="M8" s="42">
        <f>COUNTIF(dec[Intervention Type],sum[[#This Row],[Types of Interventions]])</f>
        <v>1</v>
      </c>
      <c r="N8" s="28">
        <f>SUBTOTAL(109,sum[[#This Row],[Jan]:[Dec]])</f>
        <v>17</v>
      </c>
      <c r="O8" s="36"/>
    </row>
    <row r="9" spans="1:15" ht="29.25" customHeight="1">
      <c r="A9" s="48" t="s">
        <v>64</v>
      </c>
      <c r="B9" s="28">
        <f>COUNTIF(jan[Intervention Type],sum[[#This Row],[Types of Interventions]])</f>
        <v>1</v>
      </c>
      <c r="C9" s="42">
        <f>COUNTIF(feb[Intervention Type],sum[[#This Row],[Types of Interventions]])</f>
        <v>0</v>
      </c>
      <c r="D9" s="28">
        <f>COUNTIF(mar[Intervention Type],sum[[#This Row],[Types of Interventions]])</f>
        <v>0</v>
      </c>
      <c r="E9" s="42">
        <f>COUNTIF(apr[Intervention Type],sum[[#This Row],[Types of Interventions]])</f>
        <v>1</v>
      </c>
      <c r="F9" s="28">
        <f>COUNTIF(may[Intervention Type],sum[[#This Row],[Types of Interventions]])</f>
        <v>0</v>
      </c>
      <c r="G9" s="42">
        <f>COUNTIF(jun[Intervention Type],sum[[#This Row],[Types of Interventions]])</f>
        <v>1</v>
      </c>
      <c r="H9" s="28">
        <f>COUNTIF(jul[Intervention Type],sum[[#This Row],[Types of Interventions]])</f>
        <v>0</v>
      </c>
      <c r="I9" s="42">
        <f>COUNTIF(aug[Intervention Type],sum[[#This Row],[Types of Interventions]])</f>
        <v>1</v>
      </c>
      <c r="J9" s="28">
        <f>COUNTIF(sep[Intervention Type],sum[[#This Row],[Types of Interventions]])</f>
        <v>0</v>
      </c>
      <c r="K9" s="42">
        <f>COUNTIF(oct[Intervention Type],sum[[#This Row],[Types of Interventions]])</f>
        <v>0</v>
      </c>
      <c r="L9" s="28">
        <f>COUNTIF(nov[Intervention Type],sum[[#This Row],[Types of Interventions]])</f>
        <v>0</v>
      </c>
      <c r="M9" s="42">
        <f>COUNTIF(dec[Intervention Type],sum[[#This Row],[Types of Interventions]])</f>
        <v>0</v>
      </c>
      <c r="N9" s="28">
        <f>SUBTOTAL(109,sum[[#This Row],[Jan]:[Dec]])</f>
        <v>4</v>
      </c>
      <c r="O9" s="36"/>
    </row>
    <row r="10" spans="1:15" ht="29.25" customHeight="1" thickBot="1">
      <c r="A10" s="49" t="s">
        <v>22</v>
      </c>
      <c r="B10" s="29">
        <f>COUNTIF(jan[Intervention Type],sum[[#This Row],[Types of Interventions]])</f>
        <v>3</v>
      </c>
      <c r="C10" s="43">
        <f>COUNTIF(feb[Intervention Type],sum[[#This Row],[Types of Interventions]])</f>
        <v>1</v>
      </c>
      <c r="D10" s="29">
        <f>COUNTIF(mar[Intervention Type],sum[[#This Row],[Types of Interventions]])</f>
        <v>0</v>
      </c>
      <c r="E10" s="43">
        <f>COUNTIF(apr[Intervention Type],sum[[#This Row],[Types of Interventions]])</f>
        <v>0</v>
      </c>
      <c r="F10" s="29">
        <f>COUNTIF(may[Intervention Type],sum[[#This Row],[Types of Interventions]])</f>
        <v>0</v>
      </c>
      <c r="G10" s="43">
        <f>COUNTIF(jun[Intervention Type],sum[[#This Row],[Types of Interventions]])</f>
        <v>3</v>
      </c>
      <c r="H10" s="29">
        <f>COUNTIF(jul[Intervention Type],sum[[#This Row],[Types of Interventions]])</f>
        <v>1</v>
      </c>
      <c r="I10" s="43">
        <f>COUNTIF(aug[Intervention Type],sum[[#This Row],[Types of Interventions]])</f>
        <v>0</v>
      </c>
      <c r="J10" s="29">
        <f>COUNTIF(sep[Intervention Type],sum[[#This Row],[Types of Interventions]])</f>
        <v>0</v>
      </c>
      <c r="K10" s="43">
        <f>COUNTIF(oct[Intervention Type],sum[[#This Row],[Types of Interventions]])</f>
        <v>0</v>
      </c>
      <c r="L10" s="29">
        <f>COUNTIF(nov[Intervention Type],sum[[#This Row],[Types of Interventions]])</f>
        <v>0</v>
      </c>
      <c r="M10" s="43">
        <f>COUNTIF(dec[Intervention Type],sum[[#This Row],[Types of Interventions]])</f>
        <v>0</v>
      </c>
      <c r="N10" s="29">
        <f>SUBTOTAL(109,sum[[#This Row],[Jan]:[Dec]])</f>
        <v>8</v>
      </c>
      <c r="O10" s="37"/>
    </row>
    <row r="11" spans="1:15" ht="29.25" customHeight="1" thickTop="1">
      <c r="A11" s="50" t="s">
        <v>65</v>
      </c>
      <c r="B11" s="26">
        <f>jan!$J$2</f>
        <v>10</v>
      </c>
      <c r="C11" s="44">
        <f>feb!$J$2</f>
        <v>5</v>
      </c>
      <c r="D11" s="26">
        <f>mar!$J$2</f>
        <v>2</v>
      </c>
      <c r="E11" s="44">
        <f>apr!$J$2</f>
        <v>3</v>
      </c>
      <c r="F11" s="26">
        <f>may!$J$2</f>
        <v>1</v>
      </c>
      <c r="G11" s="44">
        <f>jun!$J$2</f>
        <v>5</v>
      </c>
      <c r="H11" s="26">
        <f>jul!$J$2</f>
        <v>3</v>
      </c>
      <c r="I11" s="44">
        <f>aug!$J$2</f>
        <v>5</v>
      </c>
      <c r="J11" s="26">
        <f>sep!$J$2</f>
        <v>5</v>
      </c>
      <c r="K11" s="44">
        <f>oct!$J$2</f>
        <v>5</v>
      </c>
      <c r="L11" s="26">
        <f>nov!$J$2</f>
        <v>3</v>
      </c>
      <c r="M11" s="44">
        <f>dec!$J$2</f>
        <v>1</v>
      </c>
      <c r="N11" s="26">
        <f>SUBTOTAL(109,B11:M11)</f>
        <v>48</v>
      </c>
      <c r="O11" s="38"/>
    </row>
    <row r="12" spans="1:15" ht="29.25" customHeight="1">
      <c r="A12" s="51" t="s">
        <v>66</v>
      </c>
      <c r="B12" s="9">
        <f>SUBTOTAL(109,sum[Jan])</f>
        <v>14</v>
      </c>
      <c r="C12" s="45">
        <f>SUBTOTAL(109,sum[Feb])</f>
        <v>8</v>
      </c>
      <c r="D12" s="9">
        <f>SUBTOTAL(109,sum[Mar])</f>
        <v>2</v>
      </c>
      <c r="E12" s="45">
        <f>SUBTOTAL(109,sum[Apr])</f>
        <v>3</v>
      </c>
      <c r="F12" s="9">
        <f>SUBTOTAL(109,sum[May])</f>
        <v>1</v>
      </c>
      <c r="G12" s="45">
        <f>SUBTOTAL(109,sum[Jun])</f>
        <v>7</v>
      </c>
      <c r="H12" s="9">
        <f>SUBTOTAL(109,sum[Jul])</f>
        <v>4</v>
      </c>
      <c r="I12" s="45">
        <f>SUBTOTAL(109,sum[Aug])</f>
        <v>5</v>
      </c>
      <c r="J12" s="9">
        <f>SUBTOTAL(109,sum[Sep])</f>
        <v>6</v>
      </c>
      <c r="K12" s="45">
        <f>SUBTOTAL(109,sum[Oct])</f>
        <v>6</v>
      </c>
      <c r="L12" s="9">
        <f>SUBTOTAL(109,sum[Nov])</f>
        <v>3</v>
      </c>
      <c r="M12" s="45">
        <f>SUBTOTAL(109,sum[Dec])</f>
        <v>1</v>
      </c>
      <c r="N12" s="9">
        <f>SUBTOTAL(109,sum[[Jan]:[Dec]])</f>
        <v>60</v>
      </c>
      <c r="O12" s="39"/>
    </row>
    <row r="13" spans="1:15" ht="29.25" customHeight="1">
      <c r="A13" s="51" t="s">
        <v>75</v>
      </c>
      <c r="B13" s="9">
        <f>jan!$J$4</f>
        <v>9</v>
      </c>
      <c r="C13" s="45">
        <f>feb!$J$4</f>
        <v>5</v>
      </c>
      <c r="D13" s="9">
        <f>mar!$J$4</f>
        <v>1</v>
      </c>
      <c r="E13" s="45">
        <f>apr!$J$4</f>
        <v>2</v>
      </c>
      <c r="F13" s="9">
        <f>may!$J$4</f>
        <v>0</v>
      </c>
      <c r="G13" s="45">
        <f>jun!$J$4</f>
        <v>4</v>
      </c>
      <c r="H13" s="9">
        <f>jul!$J$4</f>
        <v>2</v>
      </c>
      <c r="I13" s="45">
        <f>aug!$J$4</f>
        <v>2</v>
      </c>
      <c r="J13" s="9">
        <f>sep!$J$4</f>
        <v>2</v>
      </c>
      <c r="K13" s="45">
        <f>oct!$J$4</f>
        <v>3</v>
      </c>
      <c r="L13" s="9">
        <f>nov!$J$4</f>
        <v>3</v>
      </c>
      <c r="M13" s="45">
        <f>dec!$J$4</f>
        <v>0</v>
      </c>
      <c r="N13" s="9">
        <f>SUBTOTAL(109,B13:M13)</f>
        <v>33</v>
      </c>
      <c r="O13" s="39"/>
    </row>
    <row r="14" spans="1:15" ht="29.25" customHeight="1">
      <c r="A14" s="52" t="s">
        <v>67</v>
      </c>
      <c r="B14" s="30">
        <f>B13/B12</f>
        <v>0.6428571428571429</v>
      </c>
      <c r="C14" s="46">
        <f t="shared" ref="C14:M14" si="0">C13/C12</f>
        <v>0.625</v>
      </c>
      <c r="D14" s="30">
        <f t="shared" si="0"/>
        <v>0.5</v>
      </c>
      <c r="E14" s="46">
        <f t="shared" si="0"/>
        <v>0.66666666666666663</v>
      </c>
      <c r="F14" s="30">
        <f t="shared" si="0"/>
        <v>0</v>
      </c>
      <c r="G14" s="46">
        <f t="shared" si="0"/>
        <v>0.5714285714285714</v>
      </c>
      <c r="H14" s="30">
        <f t="shared" si="0"/>
        <v>0.5</v>
      </c>
      <c r="I14" s="46">
        <f t="shared" si="0"/>
        <v>0.4</v>
      </c>
      <c r="J14" s="30">
        <f t="shared" si="0"/>
        <v>0.33333333333333331</v>
      </c>
      <c r="K14" s="46">
        <f t="shared" si="0"/>
        <v>0.5</v>
      </c>
      <c r="L14" s="30">
        <f t="shared" si="0"/>
        <v>1</v>
      </c>
      <c r="M14" s="46">
        <f t="shared" si="0"/>
        <v>0</v>
      </c>
      <c r="N14" s="30">
        <f>N13/N12</f>
        <v>0.55000000000000004</v>
      </c>
      <c r="O14" s="40"/>
    </row>
    <row r="15" spans="1: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30.6">
      <c r="A16" s="31"/>
      <c r="B16" s="56" t="s">
        <v>48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3"/>
      <c r="O16" s="31"/>
    </row>
    <row r="17" spans="1:15">
      <c r="B17" s="10" t="s">
        <v>50</v>
      </c>
      <c r="C17" s="11" t="s">
        <v>51</v>
      </c>
      <c r="D17" s="11" t="s">
        <v>52</v>
      </c>
      <c r="E17" s="11" t="s">
        <v>53</v>
      </c>
      <c r="F17" s="11" t="s">
        <v>54</v>
      </c>
      <c r="G17" s="11" t="s">
        <v>55</v>
      </c>
      <c r="H17" s="11" t="s">
        <v>56</v>
      </c>
      <c r="I17" s="11" t="s">
        <v>57</v>
      </c>
      <c r="J17" s="11" t="s">
        <v>58</v>
      </c>
      <c r="K17" s="11" t="s">
        <v>59</v>
      </c>
      <c r="L17" s="11" t="s">
        <v>60</v>
      </c>
      <c r="M17" s="11" t="s">
        <v>61</v>
      </c>
      <c r="N17" s="34"/>
      <c r="O17" s="31"/>
    </row>
    <row r="18" spans="1: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</sheetData>
  <mergeCells count="2">
    <mergeCell ref="A2:O2"/>
    <mergeCell ref="B16:M16"/>
  </mergeCells>
  <pageMargins left="0.7" right="0.7" top="0.75" bottom="0.75" header="0.3" footer="0.3"/>
  <pageSetup scale="55" orientation="landscape" r:id="rId1"/>
  <ignoredErrors>
    <ignoredError sqref="C4 C5:C10 D4:D10 D12:D13 E4:M11" calculatedColumn="1"/>
    <ignoredError sqref="D11 D14" evalError="1" calculatedColumn="1"/>
  </ignoredErrors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>
          <x14:colorSeries theme="5" tint="-0.249977111117893"/>
          <x14:colorNegative theme="6"/>
          <x14:colorAxis rgb="FF000000"/>
          <x14:colorMarkers theme="6" tint="-0.249977111117893"/>
          <x14:colorFirst theme="6" tint="-0.249977111117893"/>
          <x14:colorLast theme="6" tint="-0.249977111117893"/>
          <x14:colorHigh theme="6" tint="-0.249977111117893"/>
          <x14:colorLow theme="6" tint="-0.249977111117893"/>
          <x14:sparklines>
            <x14:sparkline>
              <xm:f>summary!B11:M11</xm:f>
              <xm:sqref>O11</xm:sqref>
            </x14:sparkline>
            <x14:sparkline>
              <xm:f>summary!B12:M12</xm:f>
              <xm:sqref>O12</xm:sqref>
            </x14:sparkline>
            <x14:sparkline>
              <xm:f>summary!B13:M13</xm:f>
              <xm:sqref>O13</xm:sqref>
            </x14:sparkline>
            <x14:sparkline>
              <xm:f>summary!B14:M14</xm:f>
              <xm:sqref>O14</xm:sqref>
            </x14:sparkline>
          </x14:sparklines>
        </x14:sparklineGroup>
        <x14:sparklineGroup displayEmptyCellsAs="gap" markers="1">
          <x14:colorSeries theme="5" tint="-0.249977111117893"/>
          <x14:colorNegative theme="6"/>
          <x14:colorAxis rgb="FF000000"/>
          <x14:colorMarkers theme="6" tint="-0.249977111117893"/>
          <x14:colorFirst theme="6" tint="-0.249977111117893"/>
          <x14:colorLast theme="6" tint="-0.249977111117893"/>
          <x14:colorHigh theme="6" tint="-0.249977111117893"/>
          <x14:colorLow theme="6" tint="-0.249977111117893"/>
          <x14:sparklines>
            <x14:sparkline>
              <xm:f>summary!B4:M4</xm:f>
              <xm:sqref>O4</xm:sqref>
            </x14:sparkline>
            <x14:sparkline>
              <xm:f>summary!B5:M5</xm:f>
              <xm:sqref>O5</xm:sqref>
            </x14:sparkline>
            <x14:sparkline>
              <xm:f>summary!B6:M6</xm:f>
              <xm:sqref>O6</xm:sqref>
            </x14:sparkline>
            <x14:sparkline>
              <xm:f>summary!B7:M7</xm:f>
              <xm:sqref>O7</xm:sqref>
            </x14:sparkline>
            <x14:sparkline>
              <xm:f>summary!B8:M8</xm:f>
              <xm:sqref>O8</xm:sqref>
            </x14:sparkline>
            <x14:sparkline>
              <xm:f>summary!B9:M9</xm:f>
              <xm:sqref>O9</xm:sqref>
            </x14:sparkline>
            <x14:sparkline>
              <xm:f>summary!B10:M10</xm:f>
              <xm:sqref>O10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8"/>
  <sheetViews>
    <sheetView workbookViewId="0">
      <selection activeCell="E22" sqref="E22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81" t="s">
        <v>89</v>
      </c>
      <c r="B1" s="81"/>
      <c r="C1" s="81"/>
      <c r="D1" s="81"/>
      <c r="E1" s="12"/>
      <c r="F1" s="12"/>
      <c r="G1" s="12"/>
      <c r="I1" s="82" t="s">
        <v>90</v>
      </c>
      <c r="J1" s="83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SUM(IF(FREQUENCY(MATCH(sep[Patient],sep[Patient],0),MATCH(sep[Patient],sep[Patient]))&gt;0,1))</f>
        <v>5</v>
      </c>
    </row>
    <row r="3" spans="1:10" ht="25.5" customHeight="1">
      <c r="A3" s="18">
        <v>42983</v>
      </c>
      <c r="B3" s="19" t="s">
        <v>8</v>
      </c>
      <c r="C3" s="19"/>
      <c r="D3" s="19" t="s">
        <v>18</v>
      </c>
      <c r="E3" s="19" t="s">
        <v>27</v>
      </c>
      <c r="F3" s="19" t="s">
        <v>28</v>
      </c>
      <c r="G3" s="19" t="s">
        <v>41</v>
      </c>
      <c r="I3" s="16" t="s">
        <v>24</v>
      </c>
      <c r="J3" s="17">
        <f>COUNTA(sep[Intervention Type])</f>
        <v>6</v>
      </c>
    </row>
    <row r="4" spans="1:10" ht="25.5" customHeight="1">
      <c r="A4" s="18">
        <v>42998</v>
      </c>
      <c r="B4" s="19" t="s">
        <v>9</v>
      </c>
      <c r="C4" s="19"/>
      <c r="D4" s="19" t="s">
        <v>20</v>
      </c>
      <c r="E4" s="19" t="s">
        <v>31</v>
      </c>
      <c r="F4" s="19" t="s">
        <v>32</v>
      </c>
      <c r="G4" s="19" t="s">
        <v>40</v>
      </c>
      <c r="I4" s="16" t="s">
        <v>79</v>
      </c>
      <c r="J4" s="17">
        <f>COUNTIF(sep[Intervention Accepted?],"yes")</f>
        <v>2</v>
      </c>
    </row>
    <row r="5" spans="1:10" ht="25.5" customHeight="1" thickBot="1">
      <c r="A5" s="18">
        <v>42999</v>
      </c>
      <c r="B5" s="19" t="s">
        <v>10</v>
      </c>
      <c r="C5" s="19"/>
      <c r="D5" s="19" t="s">
        <v>18</v>
      </c>
      <c r="E5" s="19" t="s">
        <v>33</v>
      </c>
      <c r="F5" s="19" t="s">
        <v>34</v>
      </c>
      <c r="G5" s="19" t="s">
        <v>41</v>
      </c>
      <c r="I5" s="20" t="s">
        <v>69</v>
      </c>
      <c r="J5" s="21">
        <f>J4/J3</f>
        <v>0.33333333333333331</v>
      </c>
    </row>
    <row r="6" spans="1:10" ht="25.5" customHeight="1">
      <c r="A6" s="18">
        <v>43003</v>
      </c>
      <c r="B6" s="19" t="s">
        <v>10</v>
      </c>
      <c r="C6" s="19"/>
      <c r="D6" s="19" t="s">
        <v>72</v>
      </c>
      <c r="E6" s="19" t="s">
        <v>35</v>
      </c>
      <c r="F6" s="19" t="s">
        <v>23</v>
      </c>
      <c r="G6" s="19" t="s">
        <v>40</v>
      </c>
    </row>
    <row r="7" spans="1:10" ht="25.5" customHeight="1">
      <c r="A7" s="18">
        <v>43005</v>
      </c>
      <c r="B7" s="19" t="s">
        <v>11</v>
      </c>
      <c r="C7" s="19"/>
      <c r="D7" s="19" t="s">
        <v>71</v>
      </c>
      <c r="E7" s="19" t="s">
        <v>38</v>
      </c>
      <c r="F7" s="19" t="s">
        <v>29</v>
      </c>
      <c r="G7" s="19" t="s">
        <v>41</v>
      </c>
    </row>
    <row r="8" spans="1:10" ht="25.5" customHeight="1">
      <c r="A8" s="18">
        <v>43008</v>
      </c>
      <c r="B8" s="19" t="s">
        <v>12</v>
      </c>
      <c r="C8" s="19"/>
      <c r="D8" s="19" t="s">
        <v>20</v>
      </c>
      <c r="E8" s="19" t="s">
        <v>26</v>
      </c>
      <c r="F8" s="19" t="s">
        <v>39</v>
      </c>
      <c r="G8" s="19" t="s">
        <v>41</v>
      </c>
    </row>
    <row r="9" spans="1:10" ht="25.5" customHeight="1">
      <c r="A9" s="4"/>
      <c r="D9" s="32"/>
      <c r="E9" s="32"/>
      <c r="F9" s="32"/>
      <c r="G9" s="32"/>
    </row>
    <row r="10" spans="1:10" ht="25.5" customHeight="1">
      <c r="A10" s="4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orkbookViewId="0">
      <selection activeCell="B9" sqref="B9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84" t="s">
        <v>91</v>
      </c>
      <c r="B1" s="84"/>
      <c r="C1" s="84"/>
      <c r="D1" s="84"/>
      <c r="E1" s="12"/>
      <c r="F1" s="12"/>
      <c r="G1" s="12"/>
      <c r="I1" s="85" t="s">
        <v>92</v>
      </c>
      <c r="J1" s="86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SUM(IF(FREQUENCY(MATCH(oct[Patient],oct[Patient],0),MATCH(oct[Patient],oct[Patient]))&gt;0,1))</f>
        <v>5</v>
      </c>
    </row>
    <row r="3" spans="1:10" ht="25.5" customHeight="1">
      <c r="A3" s="18">
        <v>43015</v>
      </c>
      <c r="B3" s="19" t="s">
        <v>8</v>
      </c>
      <c r="C3" s="19"/>
      <c r="D3" s="19" t="s">
        <v>19</v>
      </c>
      <c r="E3" s="19" t="s">
        <v>29</v>
      </c>
      <c r="F3" s="19" t="s">
        <v>30</v>
      </c>
      <c r="G3" s="19" t="s">
        <v>40</v>
      </c>
      <c r="I3" s="16" t="s">
        <v>24</v>
      </c>
      <c r="J3" s="17">
        <f>COUNTA(oct[Intervention Type])</f>
        <v>6</v>
      </c>
    </row>
    <row r="4" spans="1:10" ht="25.5" customHeight="1">
      <c r="A4" s="18">
        <v>43016</v>
      </c>
      <c r="B4" s="19" t="s">
        <v>8</v>
      </c>
      <c r="C4" s="19"/>
      <c r="D4" s="19" t="s">
        <v>20</v>
      </c>
      <c r="E4" s="19" t="s">
        <v>31</v>
      </c>
      <c r="F4" s="19" t="s">
        <v>32</v>
      </c>
      <c r="G4" s="19" t="s">
        <v>40</v>
      </c>
      <c r="I4" s="16" t="s">
        <v>79</v>
      </c>
      <c r="J4" s="17">
        <f>COUNTIF(oct[Intervention Accepted?],"yes")</f>
        <v>3</v>
      </c>
    </row>
    <row r="5" spans="1:10" ht="25.5" customHeight="1" thickBot="1">
      <c r="A5" s="18">
        <v>43017</v>
      </c>
      <c r="B5" s="19" t="s">
        <v>9</v>
      </c>
      <c r="C5" s="19"/>
      <c r="D5" s="19" t="s">
        <v>18</v>
      </c>
      <c r="E5" s="19" t="s">
        <v>33</v>
      </c>
      <c r="F5" s="19" t="s">
        <v>34</v>
      </c>
      <c r="G5" s="19" t="s">
        <v>41</v>
      </c>
      <c r="I5" s="20" t="s">
        <v>69</v>
      </c>
      <c r="J5" s="21">
        <f>J4/J3</f>
        <v>0.5</v>
      </c>
    </row>
    <row r="6" spans="1:10" ht="25.5" customHeight="1">
      <c r="A6" s="18">
        <v>43020</v>
      </c>
      <c r="B6" s="19" t="s">
        <v>10</v>
      </c>
      <c r="C6" s="19"/>
      <c r="D6" s="19" t="s">
        <v>71</v>
      </c>
      <c r="E6" s="19" t="s">
        <v>38</v>
      </c>
      <c r="F6" s="19" t="s">
        <v>29</v>
      </c>
      <c r="G6" s="19" t="s">
        <v>41</v>
      </c>
    </row>
    <row r="7" spans="1:10" ht="25.5" customHeight="1">
      <c r="A7" s="18">
        <v>43030</v>
      </c>
      <c r="B7" s="19" t="s">
        <v>11</v>
      </c>
      <c r="C7" s="19"/>
      <c r="D7" s="19" t="s">
        <v>20</v>
      </c>
      <c r="E7" s="19" t="s">
        <v>26</v>
      </c>
      <c r="F7" s="19" t="s">
        <v>39</v>
      </c>
      <c r="G7" s="19" t="s">
        <v>41</v>
      </c>
    </row>
    <row r="8" spans="1:10" ht="25.5" customHeight="1">
      <c r="A8" s="18">
        <v>43038</v>
      </c>
      <c r="B8" s="19" t="s">
        <v>12</v>
      </c>
      <c r="C8" s="19"/>
      <c r="D8" s="19" t="s">
        <v>71</v>
      </c>
      <c r="E8" s="19" t="s">
        <v>73</v>
      </c>
      <c r="F8" s="19" t="s">
        <v>23</v>
      </c>
      <c r="G8" s="19" t="s">
        <v>40</v>
      </c>
    </row>
    <row r="9" spans="1:10" ht="25.5" customHeight="1">
      <c r="A9" s="4"/>
      <c r="D9" s="32"/>
      <c r="E9" s="32"/>
      <c r="F9" s="32"/>
      <c r="G9" s="32"/>
    </row>
    <row r="10" spans="1:10" ht="25.5" customHeight="1">
      <c r="A10" s="4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18"/>
  <sheetViews>
    <sheetView workbookViewId="0">
      <selection activeCell="F13" sqref="F13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87" t="s">
        <v>93</v>
      </c>
      <c r="B1" s="87"/>
      <c r="C1" s="87"/>
      <c r="D1" s="87"/>
      <c r="E1" s="12"/>
      <c r="F1" s="12"/>
      <c r="G1" s="12"/>
      <c r="I1" s="88" t="s">
        <v>95</v>
      </c>
      <c r="J1" s="89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SUM(IF(FREQUENCY(MATCH(nov[Patient],nov[Patient],0),MATCH(nov[Patient],nov[Patient]))&gt;0,1))</f>
        <v>3</v>
      </c>
    </row>
    <row r="3" spans="1:10" ht="25.5" customHeight="1">
      <c r="A3" s="18">
        <v>43043</v>
      </c>
      <c r="B3" s="19" t="s">
        <v>8</v>
      </c>
      <c r="C3" s="19"/>
      <c r="D3" s="19" t="s">
        <v>17</v>
      </c>
      <c r="E3" s="19" t="s">
        <v>25</v>
      </c>
      <c r="F3" s="19" t="s">
        <v>26</v>
      </c>
      <c r="G3" s="19" t="s">
        <v>40</v>
      </c>
      <c r="I3" s="16" t="s">
        <v>24</v>
      </c>
      <c r="J3" s="17">
        <f>COUNTA(nov[Intervention Type])</f>
        <v>3</v>
      </c>
    </row>
    <row r="4" spans="1:10" ht="25.5" customHeight="1">
      <c r="A4" s="18">
        <v>43057</v>
      </c>
      <c r="B4" s="19" t="s">
        <v>9</v>
      </c>
      <c r="C4" s="19"/>
      <c r="D4" s="19" t="s">
        <v>19</v>
      </c>
      <c r="E4" s="19" t="s">
        <v>29</v>
      </c>
      <c r="F4" s="19" t="s">
        <v>30</v>
      </c>
      <c r="G4" s="19" t="s">
        <v>40</v>
      </c>
      <c r="I4" s="16" t="s">
        <v>79</v>
      </c>
      <c r="J4" s="17">
        <f>COUNTIF(nov[Intervention Accepted?],"yes")</f>
        <v>3</v>
      </c>
    </row>
    <row r="5" spans="1:10" ht="25.5" customHeight="1" thickBot="1">
      <c r="A5" s="18">
        <v>43064</v>
      </c>
      <c r="B5" s="19" t="s">
        <v>10</v>
      </c>
      <c r="C5" s="19"/>
      <c r="D5" s="19" t="s">
        <v>20</v>
      </c>
      <c r="E5" s="19" t="s">
        <v>31</v>
      </c>
      <c r="F5" s="19" t="s">
        <v>32</v>
      </c>
      <c r="G5" s="19" t="s">
        <v>40</v>
      </c>
      <c r="I5" s="20" t="s">
        <v>69</v>
      </c>
      <c r="J5" s="21">
        <f>J4/J3</f>
        <v>1</v>
      </c>
    </row>
    <row r="6" spans="1:10" ht="25.5" customHeight="1">
      <c r="A6" s="4"/>
    </row>
    <row r="7" spans="1:10" ht="25.5" customHeight="1">
      <c r="A7" s="4"/>
    </row>
    <row r="8" spans="1:10" ht="25.5" customHeight="1">
      <c r="A8" s="4"/>
    </row>
    <row r="9" spans="1:10" ht="25.5" customHeight="1">
      <c r="A9" s="4"/>
      <c r="D9" s="32"/>
      <c r="E9" s="32"/>
      <c r="F9" s="32"/>
      <c r="G9" s="32"/>
    </row>
    <row r="10" spans="1:10" ht="25.5" customHeight="1">
      <c r="A10" s="4"/>
      <c r="D10" s="32"/>
      <c r="E10" s="32"/>
      <c r="F10" s="32"/>
      <c r="G10" s="32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J18"/>
  <sheetViews>
    <sheetView workbookViewId="0">
      <selection activeCell="G13" sqref="G13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90" t="s">
        <v>96</v>
      </c>
      <c r="B1" s="90"/>
      <c r="C1" s="90"/>
      <c r="D1" s="90"/>
      <c r="E1" s="12"/>
      <c r="F1" s="12"/>
      <c r="G1" s="12"/>
      <c r="I1" s="91" t="s">
        <v>94</v>
      </c>
      <c r="J1" s="92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SUM(IF(FREQUENCY(MATCH(dec[Patient],dec[Patient],0),MATCH(dec[Patient],dec[Patient]))&gt;0,1))</f>
        <v>1</v>
      </c>
    </row>
    <row r="3" spans="1:10" ht="25.5" customHeight="1">
      <c r="A3" s="18">
        <v>43093</v>
      </c>
      <c r="B3" s="19" t="s">
        <v>8</v>
      </c>
      <c r="C3" s="19"/>
      <c r="D3" s="19" t="s">
        <v>71</v>
      </c>
      <c r="E3" s="19" t="s">
        <v>38</v>
      </c>
      <c r="F3" s="19" t="s">
        <v>29</v>
      </c>
      <c r="G3" s="19" t="s">
        <v>41</v>
      </c>
      <c r="I3" s="16" t="s">
        <v>24</v>
      </c>
      <c r="J3" s="17">
        <f>COUNTA(dec[Intervention Type])</f>
        <v>1</v>
      </c>
    </row>
    <row r="4" spans="1:10" ht="25.5" customHeight="1">
      <c r="A4" s="4"/>
      <c r="I4" s="16" t="s">
        <v>79</v>
      </c>
      <c r="J4" s="17">
        <f>COUNTIF(dec[Intervention Accepted?],"yes")</f>
        <v>0</v>
      </c>
    </row>
    <row r="5" spans="1:10" ht="25.5" customHeight="1" thickBot="1">
      <c r="A5" s="4"/>
      <c r="I5" s="20" t="s">
        <v>69</v>
      </c>
      <c r="J5" s="21">
        <f>J4/J3</f>
        <v>0</v>
      </c>
    </row>
    <row r="6" spans="1:10" ht="25.5" customHeight="1">
      <c r="A6" s="4"/>
    </row>
    <row r="7" spans="1:10" ht="25.5" customHeight="1">
      <c r="A7" s="4"/>
    </row>
    <row r="8" spans="1:10" ht="25.5" customHeight="1">
      <c r="A8" s="4"/>
    </row>
    <row r="9" spans="1:10" ht="25.5" customHeight="1">
      <c r="A9" s="4"/>
      <c r="D9" s="32"/>
      <c r="E9" s="32"/>
      <c r="F9" s="32"/>
      <c r="G9" s="32"/>
    </row>
    <row r="10" spans="1:10" ht="25.5" customHeight="1">
      <c r="A10" s="4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J17"/>
  <sheetViews>
    <sheetView topLeftCell="C1" zoomScaleNormal="100" workbookViewId="0">
      <selection activeCell="N12" sqref="N12"/>
    </sheetView>
  </sheetViews>
  <sheetFormatPr defaultColWidth="9.15625" defaultRowHeight="25.5" customHeight="1"/>
  <cols>
    <col min="1" max="1" width="10.83984375" style="13" customWidth="1"/>
    <col min="2" max="3" width="25" style="13" customWidth="1"/>
    <col min="4" max="4" width="32.68359375" style="13" customWidth="1"/>
    <col min="5" max="6" width="33.83984375" style="13" customWidth="1"/>
    <col min="7" max="7" width="32.83984375" style="13" customWidth="1"/>
    <col min="8" max="8" width="1.41796875" style="13" customWidth="1"/>
    <col min="9" max="9" width="33.15625" style="13" customWidth="1"/>
    <col min="10" max="10" width="25.83984375" style="13" customWidth="1"/>
    <col min="11" max="16384" width="9.15625" style="13"/>
  </cols>
  <sheetData>
    <row r="1" spans="1:10" ht="25.5" customHeight="1">
      <c r="A1" s="59" t="s">
        <v>7</v>
      </c>
      <c r="B1" s="59"/>
      <c r="C1" s="59"/>
      <c r="D1" s="59"/>
      <c r="E1" s="12"/>
      <c r="F1" s="12"/>
      <c r="G1" s="12"/>
      <c r="I1" s="57" t="s">
        <v>68</v>
      </c>
      <c r="J1" s="58"/>
    </row>
    <row r="2" spans="1:10" ht="25.5" customHeight="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I2" s="16" t="s">
        <v>76</v>
      </c>
      <c r="J2" s="17">
        <f>SUM(IF(FREQUENCY(MATCH(jan[Patient],jan[Patient],0),MATCH(jan[Patient],jan[Patient]))&gt;0,1))</f>
        <v>10</v>
      </c>
    </row>
    <row r="3" spans="1:10" ht="25.5" customHeight="1">
      <c r="A3" s="18">
        <v>42739</v>
      </c>
      <c r="B3" s="19" t="s">
        <v>8</v>
      </c>
      <c r="C3" s="19"/>
      <c r="D3" s="19" t="s">
        <v>17</v>
      </c>
      <c r="E3" s="19" t="s">
        <v>25</v>
      </c>
      <c r="F3" s="19" t="s">
        <v>26</v>
      </c>
      <c r="G3" s="19" t="s">
        <v>40</v>
      </c>
      <c r="I3" s="16" t="s">
        <v>24</v>
      </c>
      <c r="J3" s="17">
        <f>COUNTA(jan[Intervention Type])</f>
        <v>14</v>
      </c>
    </row>
    <row r="4" spans="1:10" ht="25.5" customHeight="1">
      <c r="A4" s="18">
        <v>42740</v>
      </c>
      <c r="B4" s="19" t="s">
        <v>9</v>
      </c>
      <c r="C4" s="19"/>
      <c r="D4" s="19" t="s">
        <v>18</v>
      </c>
      <c r="E4" s="19" t="s">
        <v>27</v>
      </c>
      <c r="F4" s="19" t="s">
        <v>28</v>
      </c>
      <c r="G4" s="19" t="s">
        <v>41</v>
      </c>
      <c r="I4" s="16" t="s">
        <v>79</v>
      </c>
      <c r="J4" s="17">
        <f>COUNTIF(jan[Intervention Accepted?],"yes")</f>
        <v>9</v>
      </c>
    </row>
    <row r="5" spans="1:10" ht="25.5" customHeight="1" thickBot="1">
      <c r="A5" s="18">
        <v>42743</v>
      </c>
      <c r="B5" s="19" t="s">
        <v>9</v>
      </c>
      <c r="C5" s="19"/>
      <c r="D5" s="19" t="s">
        <v>19</v>
      </c>
      <c r="E5" s="19" t="s">
        <v>29</v>
      </c>
      <c r="F5" s="19" t="s">
        <v>30</v>
      </c>
      <c r="G5" s="19" t="s">
        <v>40</v>
      </c>
      <c r="I5" s="20" t="s">
        <v>69</v>
      </c>
      <c r="J5" s="21">
        <f>J4/J3</f>
        <v>0.6428571428571429</v>
      </c>
    </row>
    <row r="6" spans="1:10" ht="25.5" customHeight="1">
      <c r="A6" s="18">
        <v>42750</v>
      </c>
      <c r="B6" s="19" t="s">
        <v>10</v>
      </c>
      <c r="C6" s="19"/>
      <c r="D6" s="19" t="s">
        <v>20</v>
      </c>
      <c r="E6" s="19" t="s">
        <v>31</v>
      </c>
      <c r="F6" s="19" t="s">
        <v>32</v>
      </c>
      <c r="G6" s="19" t="s">
        <v>40</v>
      </c>
    </row>
    <row r="7" spans="1:10" ht="25.5" customHeight="1">
      <c r="A7" s="18">
        <v>42753</v>
      </c>
      <c r="B7" s="19" t="s">
        <v>11</v>
      </c>
      <c r="C7" s="19"/>
      <c r="D7" s="19" t="s">
        <v>18</v>
      </c>
      <c r="E7" s="19" t="s">
        <v>33</v>
      </c>
      <c r="F7" s="19" t="s">
        <v>34</v>
      </c>
      <c r="G7" s="19" t="s">
        <v>41</v>
      </c>
    </row>
    <row r="8" spans="1:10" ht="25.5" customHeight="1">
      <c r="A8" s="18">
        <v>42754</v>
      </c>
      <c r="B8" s="19" t="s">
        <v>11</v>
      </c>
      <c r="C8" s="19"/>
      <c r="D8" s="19" t="s">
        <v>72</v>
      </c>
      <c r="E8" s="19" t="s">
        <v>35</v>
      </c>
      <c r="F8" s="19" t="s">
        <v>23</v>
      </c>
      <c r="G8" s="19" t="s">
        <v>40</v>
      </c>
    </row>
    <row r="9" spans="1:10" ht="25.5" customHeight="1">
      <c r="A9" s="18">
        <v>42755</v>
      </c>
      <c r="B9" s="19" t="s">
        <v>12</v>
      </c>
      <c r="C9" s="19"/>
      <c r="D9" s="19" t="s">
        <v>21</v>
      </c>
      <c r="E9" s="19" t="s">
        <v>36</v>
      </c>
      <c r="F9" s="19" t="s">
        <v>37</v>
      </c>
      <c r="G9" s="19" t="s">
        <v>40</v>
      </c>
    </row>
    <row r="10" spans="1:10" ht="25.5" customHeight="1">
      <c r="A10" s="18">
        <v>42757</v>
      </c>
      <c r="B10" s="19" t="s">
        <v>13</v>
      </c>
      <c r="C10" s="19"/>
      <c r="D10" s="19" t="s">
        <v>22</v>
      </c>
      <c r="E10" s="19" t="s">
        <v>29</v>
      </c>
      <c r="F10" s="19" t="s">
        <v>29</v>
      </c>
      <c r="G10" s="19" t="s">
        <v>40</v>
      </c>
    </row>
    <row r="11" spans="1:10" ht="25.5" customHeight="1">
      <c r="A11" s="18">
        <v>42757</v>
      </c>
      <c r="B11" s="19" t="s">
        <v>14</v>
      </c>
      <c r="C11" s="19"/>
      <c r="D11" s="19" t="s">
        <v>22</v>
      </c>
      <c r="E11" s="19" t="s">
        <v>29</v>
      </c>
      <c r="F11" s="19" t="s">
        <v>29</v>
      </c>
      <c r="G11" s="19" t="s">
        <v>42</v>
      </c>
    </row>
    <row r="12" spans="1:10" ht="25.5" customHeight="1">
      <c r="A12" s="18">
        <v>42757</v>
      </c>
      <c r="B12" s="19" t="s">
        <v>15</v>
      </c>
      <c r="C12" s="19"/>
      <c r="D12" s="19" t="s">
        <v>71</v>
      </c>
      <c r="E12" s="19" t="s">
        <v>38</v>
      </c>
      <c r="F12" s="19" t="s">
        <v>29</v>
      </c>
      <c r="G12" s="19" t="s">
        <v>41</v>
      </c>
    </row>
    <row r="13" spans="1:10" ht="25.5" customHeight="1">
      <c r="A13" s="18">
        <v>42758</v>
      </c>
      <c r="B13" s="19" t="s">
        <v>15</v>
      </c>
      <c r="C13" s="19"/>
      <c r="D13" s="19" t="s">
        <v>20</v>
      </c>
      <c r="E13" s="19" t="s">
        <v>26</v>
      </c>
      <c r="F13" s="19" t="s">
        <v>39</v>
      </c>
      <c r="G13" s="19" t="s">
        <v>41</v>
      </c>
    </row>
    <row r="14" spans="1:10" ht="25.5" customHeight="1">
      <c r="A14" s="18">
        <v>42759</v>
      </c>
      <c r="B14" s="19" t="s">
        <v>15</v>
      </c>
      <c r="C14" s="19"/>
      <c r="D14" s="19" t="s">
        <v>72</v>
      </c>
      <c r="E14" s="19" t="s">
        <v>35</v>
      </c>
      <c r="F14" s="19" t="s">
        <v>29</v>
      </c>
      <c r="G14" s="19" t="s">
        <v>41</v>
      </c>
    </row>
    <row r="15" spans="1:10" ht="25.5" customHeight="1">
      <c r="A15" s="18">
        <v>42765</v>
      </c>
      <c r="B15" s="19" t="s">
        <v>16</v>
      </c>
      <c r="C15" s="19"/>
      <c r="D15" s="19" t="s">
        <v>22</v>
      </c>
      <c r="E15" s="19" t="s">
        <v>29</v>
      </c>
      <c r="F15" s="19" t="s">
        <v>29</v>
      </c>
      <c r="G15" s="19" t="s">
        <v>40</v>
      </c>
    </row>
    <row r="16" spans="1:10" ht="25.5" customHeight="1">
      <c r="A16" s="18">
        <v>42766</v>
      </c>
      <c r="B16" s="19" t="s">
        <v>70</v>
      </c>
      <c r="C16" s="19"/>
      <c r="D16" s="19" t="s">
        <v>71</v>
      </c>
      <c r="E16" s="19" t="s">
        <v>73</v>
      </c>
      <c r="F16" s="19" t="s">
        <v>23</v>
      </c>
      <c r="G16" s="19" t="s">
        <v>40</v>
      </c>
    </row>
    <row r="17" spans="1:7" ht="25.5" customHeight="1">
      <c r="A17" s="23"/>
      <c r="B17" s="24"/>
      <c r="C17" s="24"/>
      <c r="D17" s="24"/>
      <c r="E17" s="24"/>
      <c r="F17" s="24"/>
      <c r="G17" s="24"/>
    </row>
  </sheetData>
  <mergeCells count="2">
    <mergeCell ref="I1:J1"/>
    <mergeCell ref="A1:D1"/>
  </mergeCells>
  <pageMargins left="0.7" right="0.7" top="0.75" bottom="0.75" header="0.3" footer="0.3"/>
  <pageSetup scale="48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J18"/>
  <sheetViews>
    <sheetView workbookViewId="0">
      <selection activeCell="A3" sqref="A3:G3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62" t="s">
        <v>43</v>
      </c>
      <c r="B1" s="62"/>
      <c r="C1" s="62"/>
      <c r="D1" s="62"/>
      <c r="E1" s="12"/>
      <c r="F1" s="12"/>
      <c r="G1" s="12"/>
      <c r="I1" s="60" t="s">
        <v>80</v>
      </c>
      <c r="J1" s="61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SUM(IF(FREQUENCY(MATCH(feb[Patient],feb[Patient],0),MATCH(feb[Patient],feb[Patient]))&gt;0,1))</f>
        <v>5</v>
      </c>
    </row>
    <row r="3" spans="1:10" ht="25.5" customHeight="1">
      <c r="A3" s="4">
        <v>42769</v>
      </c>
      <c r="B3" s="2" t="s">
        <v>8</v>
      </c>
      <c r="D3" s="13" t="s">
        <v>17</v>
      </c>
      <c r="E3" s="13" t="s">
        <v>25</v>
      </c>
      <c r="F3" s="13" t="s">
        <v>26</v>
      </c>
      <c r="G3" s="13" t="s">
        <v>40</v>
      </c>
      <c r="I3" s="16" t="s">
        <v>24</v>
      </c>
      <c r="J3" s="17">
        <f>COUNTA(feb[Intervention Type])</f>
        <v>8</v>
      </c>
    </row>
    <row r="4" spans="1:10" ht="25.5" customHeight="1">
      <c r="A4" s="4">
        <v>42770</v>
      </c>
      <c r="B4" s="2" t="s">
        <v>9</v>
      </c>
      <c r="D4" s="2" t="s">
        <v>18</v>
      </c>
      <c r="E4" s="2" t="s">
        <v>27</v>
      </c>
      <c r="F4" s="2" t="s">
        <v>28</v>
      </c>
      <c r="G4" s="2" t="s">
        <v>41</v>
      </c>
      <c r="I4" s="16" t="s">
        <v>79</v>
      </c>
      <c r="J4" s="17">
        <f>COUNTIF(feb[Intervention Accepted?],"yes")</f>
        <v>5</v>
      </c>
    </row>
    <row r="5" spans="1:10" ht="25.5" customHeight="1" thickBot="1">
      <c r="A5" s="4">
        <v>42770</v>
      </c>
      <c r="B5" s="2" t="s">
        <v>9</v>
      </c>
      <c r="D5" s="2" t="s">
        <v>19</v>
      </c>
      <c r="E5" s="2" t="s">
        <v>29</v>
      </c>
      <c r="F5" s="2" t="s">
        <v>30</v>
      </c>
      <c r="G5" s="2" t="s">
        <v>40</v>
      </c>
      <c r="I5" s="20" t="s">
        <v>69</v>
      </c>
      <c r="J5" s="21">
        <f>J4/J3</f>
        <v>0.625</v>
      </c>
    </row>
    <row r="6" spans="1:10" ht="25.5" customHeight="1">
      <c r="A6" s="4">
        <v>42771</v>
      </c>
      <c r="B6" s="2" t="s">
        <v>10</v>
      </c>
      <c r="D6" s="2" t="s">
        <v>44</v>
      </c>
      <c r="E6" s="2" t="s">
        <v>31</v>
      </c>
      <c r="F6" s="2" t="s">
        <v>32</v>
      </c>
      <c r="G6" s="2" t="s">
        <v>40</v>
      </c>
    </row>
    <row r="7" spans="1:10" ht="25.5" customHeight="1">
      <c r="A7" s="4">
        <v>42771</v>
      </c>
      <c r="B7" s="2" t="s">
        <v>10</v>
      </c>
      <c r="D7" s="2" t="s">
        <v>18</v>
      </c>
      <c r="E7" s="2" t="s">
        <v>33</v>
      </c>
      <c r="F7" s="2" t="s">
        <v>34</v>
      </c>
      <c r="G7" s="2" t="s">
        <v>41</v>
      </c>
    </row>
    <row r="8" spans="1:10" ht="25.5" customHeight="1">
      <c r="A8" s="4">
        <v>42771</v>
      </c>
      <c r="B8" s="2" t="s">
        <v>11</v>
      </c>
      <c r="D8" s="2" t="s">
        <v>72</v>
      </c>
      <c r="E8" s="2" t="s">
        <v>35</v>
      </c>
      <c r="F8" s="2" t="s">
        <v>23</v>
      </c>
      <c r="G8" s="2" t="s">
        <v>40</v>
      </c>
    </row>
    <row r="9" spans="1:10" ht="25.5" customHeight="1">
      <c r="A9" s="4">
        <v>42794</v>
      </c>
      <c r="B9" s="2" t="s">
        <v>10</v>
      </c>
      <c r="D9" s="22" t="s">
        <v>45</v>
      </c>
      <c r="E9" s="22" t="s">
        <v>29</v>
      </c>
      <c r="F9" s="22" t="s">
        <v>29</v>
      </c>
      <c r="G9" s="22" t="s">
        <v>40</v>
      </c>
    </row>
    <row r="10" spans="1:10" ht="25.5" customHeight="1">
      <c r="A10" s="4">
        <v>42794</v>
      </c>
      <c r="B10" s="2" t="s">
        <v>12</v>
      </c>
      <c r="D10" s="2" t="s">
        <v>18</v>
      </c>
      <c r="E10" s="2" t="s">
        <v>38</v>
      </c>
      <c r="F10" s="2" t="s">
        <v>74</v>
      </c>
      <c r="G10" s="2" t="s">
        <v>41</v>
      </c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I1:J1"/>
    <mergeCell ref="A1:D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J18"/>
  <sheetViews>
    <sheetView workbookViewId="0">
      <selection activeCell="F21" sqref="F21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63" t="s">
        <v>46</v>
      </c>
      <c r="B1" s="63"/>
      <c r="C1" s="63"/>
      <c r="D1" s="63"/>
      <c r="E1" s="12"/>
      <c r="F1" s="12"/>
      <c r="G1" s="12"/>
      <c r="I1" s="64" t="s">
        <v>77</v>
      </c>
      <c r="J1" s="65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SUM(IF(FREQUENCY(MATCH(mar[Patient],mar[Patient],0),MATCH(mar[Patient],mar[Patient]))&gt;0,1))</f>
        <v>2</v>
      </c>
    </row>
    <row r="3" spans="1:10" ht="25.5" customHeight="1">
      <c r="A3" s="4">
        <v>42804</v>
      </c>
      <c r="B3" s="2" t="s">
        <v>8</v>
      </c>
      <c r="D3" s="13" t="s">
        <v>17</v>
      </c>
      <c r="E3" s="13" t="s">
        <v>25</v>
      </c>
      <c r="F3" s="13" t="s">
        <v>26</v>
      </c>
      <c r="G3" s="13" t="s">
        <v>40</v>
      </c>
      <c r="I3" s="16" t="s">
        <v>24</v>
      </c>
      <c r="J3" s="17">
        <f>COUNTA(mar[Intervention Type])</f>
        <v>2</v>
      </c>
    </row>
    <row r="4" spans="1:10" ht="25.5" customHeight="1">
      <c r="A4" s="18">
        <v>42824</v>
      </c>
      <c r="B4" s="19" t="s">
        <v>9</v>
      </c>
      <c r="C4" s="19"/>
      <c r="D4" s="19" t="s">
        <v>18</v>
      </c>
      <c r="E4" s="19" t="s">
        <v>27</v>
      </c>
      <c r="F4" s="19" t="s">
        <v>28</v>
      </c>
      <c r="G4" s="19" t="s">
        <v>41</v>
      </c>
      <c r="I4" s="16" t="s">
        <v>79</v>
      </c>
      <c r="J4" s="17">
        <f>COUNTIF(mar[Intervention Accepted?],"yes")</f>
        <v>1</v>
      </c>
    </row>
    <row r="5" spans="1:10" ht="25.5" customHeight="1" thickBot="1">
      <c r="A5" s="4"/>
      <c r="I5" s="20" t="s">
        <v>69</v>
      </c>
      <c r="J5" s="21">
        <f>J4/J3</f>
        <v>0.5</v>
      </c>
    </row>
    <row r="6" spans="1:10" ht="25.5" customHeight="1">
      <c r="A6" s="4"/>
    </row>
    <row r="7" spans="1:10" ht="25.5" customHeight="1">
      <c r="A7" s="4"/>
    </row>
    <row r="8" spans="1:10" ht="25.5" customHeight="1">
      <c r="A8" s="4"/>
      <c r="D8" s="32"/>
      <c r="E8" s="32"/>
      <c r="F8" s="32"/>
      <c r="G8" s="32"/>
    </row>
    <row r="9" spans="1:10" ht="25.5" customHeight="1">
      <c r="A9" s="4"/>
      <c r="D9" s="32"/>
      <c r="E9" s="32"/>
      <c r="F9" s="32"/>
      <c r="G9" s="32"/>
    </row>
    <row r="10" spans="1:10" ht="25.5" customHeight="1">
      <c r="A10" s="4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18"/>
  <sheetViews>
    <sheetView workbookViewId="0">
      <selection activeCell="G13" sqref="G13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66" t="s">
        <v>47</v>
      </c>
      <c r="B1" s="66"/>
      <c r="C1" s="66"/>
      <c r="D1" s="66"/>
      <c r="E1" s="12"/>
      <c r="F1" s="12"/>
      <c r="G1" s="12"/>
      <c r="I1" s="67" t="s">
        <v>78</v>
      </c>
      <c r="J1" s="68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SUM(IF(FREQUENCY(MATCH(apr[Patient],apr[Patient],0),MATCH(apr[Patient],apr[Patient]))&gt;0,1))</f>
        <v>3</v>
      </c>
    </row>
    <row r="3" spans="1:10" ht="25.5" customHeight="1">
      <c r="A3" s="18">
        <v>42840</v>
      </c>
      <c r="B3" s="19" t="s">
        <v>8</v>
      </c>
      <c r="C3" s="19"/>
      <c r="D3" s="19" t="s">
        <v>18</v>
      </c>
      <c r="E3" s="19" t="s">
        <v>33</v>
      </c>
      <c r="F3" s="19" t="s">
        <v>34</v>
      </c>
      <c r="G3" s="19" t="s">
        <v>41</v>
      </c>
      <c r="I3" s="16" t="s">
        <v>24</v>
      </c>
      <c r="J3" s="17">
        <f>COUNTA(apr[Intervention Type])</f>
        <v>3</v>
      </c>
    </row>
    <row r="4" spans="1:10" ht="25.5" customHeight="1">
      <c r="A4" s="18">
        <v>42847</v>
      </c>
      <c r="B4" s="19" t="s">
        <v>9</v>
      </c>
      <c r="C4" s="19"/>
      <c r="D4" s="19" t="s">
        <v>72</v>
      </c>
      <c r="E4" s="19" t="s">
        <v>35</v>
      </c>
      <c r="F4" s="19" t="s">
        <v>23</v>
      </c>
      <c r="G4" s="19" t="s">
        <v>40</v>
      </c>
      <c r="I4" s="16" t="s">
        <v>79</v>
      </c>
      <c r="J4" s="17">
        <f>COUNTIF(apr[Intervention Accepted?],"yes")</f>
        <v>2</v>
      </c>
    </row>
    <row r="5" spans="1:10" ht="25.5" customHeight="1" thickBot="1">
      <c r="A5" s="18">
        <v>42855</v>
      </c>
      <c r="B5" s="19" t="s">
        <v>10</v>
      </c>
      <c r="C5" s="19"/>
      <c r="D5" s="19" t="s">
        <v>21</v>
      </c>
      <c r="E5" s="19" t="s">
        <v>36</v>
      </c>
      <c r="F5" s="19" t="s">
        <v>37</v>
      </c>
      <c r="G5" s="19" t="s">
        <v>40</v>
      </c>
      <c r="I5" s="20" t="s">
        <v>69</v>
      </c>
      <c r="J5" s="21">
        <f>J4/J3</f>
        <v>0.66666666666666663</v>
      </c>
    </row>
    <row r="6" spans="1:10" ht="25.5" customHeight="1">
      <c r="A6" s="4"/>
    </row>
    <row r="7" spans="1:10" ht="25.5" customHeight="1">
      <c r="A7" s="4"/>
    </row>
    <row r="8" spans="1:10" ht="25.5" customHeight="1">
      <c r="A8" s="4"/>
    </row>
    <row r="9" spans="1:10" ht="25.5" customHeight="1">
      <c r="A9" s="4"/>
      <c r="D9" s="32"/>
      <c r="E9" s="32"/>
      <c r="F9" s="32"/>
      <c r="G9" s="32"/>
    </row>
    <row r="10" spans="1:10" ht="25.5" customHeight="1">
      <c r="A10" s="4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18"/>
  <sheetViews>
    <sheetView workbookViewId="0">
      <selection activeCell="C10" sqref="C10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69" t="s">
        <v>81</v>
      </c>
      <c r="B1" s="69"/>
      <c r="C1" s="69"/>
      <c r="D1" s="69"/>
      <c r="E1" s="12"/>
      <c r="F1" s="12"/>
      <c r="G1" s="12"/>
      <c r="I1" s="70" t="s">
        <v>82</v>
      </c>
      <c r="J1" s="71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SUM(IF(FREQUENCY(MATCH(may[Patient],may[Patient],0),MATCH(may[Patient],may[Patient]))&gt;0,1))</f>
        <v>1</v>
      </c>
    </row>
    <row r="3" spans="1:10" ht="25.5" customHeight="1">
      <c r="A3" s="18">
        <v>42856</v>
      </c>
      <c r="B3" s="19" t="s">
        <v>8</v>
      </c>
      <c r="C3" s="19"/>
      <c r="D3" s="19" t="s">
        <v>20</v>
      </c>
      <c r="E3" s="19" t="s">
        <v>26</v>
      </c>
      <c r="F3" s="19" t="s">
        <v>39</v>
      </c>
      <c r="G3" s="19" t="s">
        <v>41</v>
      </c>
      <c r="I3" s="16" t="s">
        <v>24</v>
      </c>
      <c r="J3" s="17">
        <f>COUNTA(may[Intervention Type])</f>
        <v>1</v>
      </c>
    </row>
    <row r="4" spans="1:10" ht="25.5" customHeight="1">
      <c r="A4" s="4"/>
      <c r="I4" s="16" t="s">
        <v>79</v>
      </c>
      <c r="J4" s="17">
        <f>COUNTIF(may[Intervention Accepted?],"yes")</f>
        <v>0</v>
      </c>
    </row>
    <row r="5" spans="1:10" ht="25.5" customHeight="1" thickBot="1">
      <c r="A5" s="4"/>
      <c r="I5" s="20" t="s">
        <v>69</v>
      </c>
      <c r="J5" s="21">
        <f>J4/J3</f>
        <v>0</v>
      </c>
    </row>
    <row r="6" spans="1:10" ht="25.5" customHeight="1">
      <c r="A6" s="4"/>
    </row>
    <row r="7" spans="1:10" ht="25.5" customHeight="1">
      <c r="A7" s="4"/>
    </row>
    <row r="8" spans="1:10" ht="25.5" customHeight="1">
      <c r="A8" s="4"/>
    </row>
    <row r="9" spans="1:10" ht="25.5" customHeight="1">
      <c r="A9" s="4"/>
      <c r="D9" s="32"/>
      <c r="E9" s="32"/>
      <c r="F9" s="32"/>
      <c r="G9" s="32"/>
    </row>
    <row r="10" spans="1:10" ht="25.5" customHeight="1">
      <c r="A10" s="4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8"/>
  <sheetViews>
    <sheetView workbookViewId="0">
      <selection activeCell="A5" sqref="A5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72" t="s">
        <v>83</v>
      </c>
      <c r="B1" s="72"/>
      <c r="C1" s="72"/>
      <c r="D1" s="72"/>
      <c r="E1" s="12"/>
      <c r="F1" s="12"/>
      <c r="G1" s="12"/>
      <c r="I1" s="73" t="s">
        <v>84</v>
      </c>
      <c r="J1" s="74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SUM(IF(FREQUENCY(MATCH(jun[Patient],jun[Patient],0),MATCH(jun[Patient],jun[Patient]))&gt;0,1))</f>
        <v>5</v>
      </c>
    </row>
    <row r="3" spans="1:10" ht="25.5" customHeight="1">
      <c r="A3" s="18">
        <v>42889</v>
      </c>
      <c r="B3" s="19" t="s">
        <v>8</v>
      </c>
      <c r="C3" s="19"/>
      <c r="D3" s="19" t="s">
        <v>21</v>
      </c>
      <c r="E3" s="19" t="s">
        <v>36</v>
      </c>
      <c r="F3" s="19" t="s">
        <v>37</v>
      </c>
      <c r="G3" s="19" t="s">
        <v>40</v>
      </c>
      <c r="I3" s="16" t="s">
        <v>24</v>
      </c>
      <c r="J3" s="17">
        <f>COUNTA(jun[Intervention Type])</f>
        <v>7</v>
      </c>
    </row>
    <row r="4" spans="1:10" ht="25.5" customHeight="1">
      <c r="A4" s="18">
        <v>42889</v>
      </c>
      <c r="B4" s="19" t="s">
        <v>8</v>
      </c>
      <c r="C4" s="19"/>
      <c r="D4" s="19" t="s">
        <v>22</v>
      </c>
      <c r="E4" s="19" t="s">
        <v>29</v>
      </c>
      <c r="F4" s="19" t="s">
        <v>29</v>
      </c>
      <c r="G4" s="19" t="s">
        <v>40</v>
      </c>
      <c r="I4" s="16" t="s">
        <v>79</v>
      </c>
      <c r="J4" s="17">
        <f>COUNTIF(jun[Intervention Accepted?],"yes")</f>
        <v>4</v>
      </c>
    </row>
    <row r="5" spans="1:10" ht="25.5" customHeight="1" thickBot="1">
      <c r="A5" s="18">
        <v>42892</v>
      </c>
      <c r="B5" s="19" t="s">
        <v>9</v>
      </c>
      <c r="C5" s="19"/>
      <c r="D5" s="19" t="s">
        <v>22</v>
      </c>
      <c r="E5" s="19" t="s">
        <v>29</v>
      </c>
      <c r="F5" s="19" t="s">
        <v>29</v>
      </c>
      <c r="G5" s="19" t="s">
        <v>42</v>
      </c>
      <c r="I5" s="20" t="s">
        <v>69</v>
      </c>
      <c r="J5" s="21">
        <f>J4/J3</f>
        <v>0.5714285714285714</v>
      </c>
    </row>
    <row r="6" spans="1:10" ht="25.5" customHeight="1">
      <c r="A6" s="18">
        <v>42898</v>
      </c>
      <c r="B6" s="19" t="s">
        <v>10</v>
      </c>
      <c r="C6" s="19"/>
      <c r="D6" s="19" t="s">
        <v>71</v>
      </c>
      <c r="E6" s="19" t="s">
        <v>38</v>
      </c>
      <c r="F6" s="19" t="s">
        <v>29</v>
      </c>
      <c r="G6" s="19" t="s">
        <v>41</v>
      </c>
    </row>
    <row r="7" spans="1:10" ht="25.5" customHeight="1">
      <c r="A7" s="18">
        <v>42901</v>
      </c>
      <c r="B7" s="19" t="s">
        <v>11</v>
      </c>
      <c r="C7" s="19"/>
      <c r="D7" s="19" t="s">
        <v>20</v>
      </c>
      <c r="E7" s="19" t="s">
        <v>26</v>
      </c>
      <c r="F7" s="19" t="s">
        <v>39</v>
      </c>
      <c r="G7" s="19" t="s">
        <v>41</v>
      </c>
    </row>
    <row r="8" spans="1:10" ht="25.5" customHeight="1">
      <c r="A8" s="18">
        <v>42905</v>
      </c>
      <c r="B8" s="19" t="s">
        <v>11</v>
      </c>
      <c r="C8" s="19"/>
      <c r="D8" s="19" t="s">
        <v>72</v>
      </c>
      <c r="E8" s="19" t="s">
        <v>35</v>
      </c>
      <c r="F8" s="19" t="s">
        <v>29</v>
      </c>
      <c r="G8" s="19" t="s">
        <v>41</v>
      </c>
    </row>
    <row r="9" spans="1:10" ht="25.5" customHeight="1">
      <c r="A9" s="18">
        <v>42906</v>
      </c>
      <c r="B9" s="19" t="s">
        <v>12</v>
      </c>
      <c r="C9" s="19"/>
      <c r="D9" s="19" t="s">
        <v>22</v>
      </c>
      <c r="E9" s="19" t="s">
        <v>29</v>
      </c>
      <c r="F9" s="19" t="s">
        <v>29</v>
      </c>
      <c r="G9" s="19" t="s">
        <v>40</v>
      </c>
    </row>
    <row r="10" spans="1:10" ht="25.5" customHeight="1">
      <c r="A10" s="4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J18"/>
  <sheetViews>
    <sheetView workbookViewId="0">
      <selection activeCell="B7" sqref="B7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75" t="s">
        <v>85</v>
      </c>
      <c r="B1" s="75"/>
      <c r="C1" s="75"/>
      <c r="D1" s="75"/>
      <c r="E1" s="12"/>
      <c r="F1" s="12"/>
      <c r="G1" s="12"/>
      <c r="I1" s="76" t="s">
        <v>86</v>
      </c>
      <c r="J1" s="77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SUM(IF(FREQUENCY(MATCH(jul[Patient],jul[Patient],0),MATCH(jul[Patient],jul[Patient]))&gt;0,1))</f>
        <v>3</v>
      </c>
    </row>
    <row r="3" spans="1:10" ht="25.5" customHeight="1">
      <c r="A3" s="18">
        <v>42917</v>
      </c>
      <c r="B3" s="19" t="s">
        <v>8</v>
      </c>
      <c r="C3" s="19"/>
      <c r="D3" s="19" t="s">
        <v>18</v>
      </c>
      <c r="E3" s="19" t="s">
        <v>27</v>
      </c>
      <c r="F3" s="19" t="s">
        <v>28</v>
      </c>
      <c r="G3" s="19" t="s">
        <v>41</v>
      </c>
      <c r="I3" s="16" t="s">
        <v>24</v>
      </c>
      <c r="J3" s="17">
        <f>COUNTA(jul[Intervention Type])</f>
        <v>4</v>
      </c>
    </row>
    <row r="4" spans="1:10" ht="25.5" customHeight="1">
      <c r="A4" s="18">
        <v>42920</v>
      </c>
      <c r="B4" s="19" t="s">
        <v>8</v>
      </c>
      <c r="C4" s="19"/>
      <c r="D4" s="19" t="s">
        <v>72</v>
      </c>
      <c r="E4" s="19" t="s">
        <v>35</v>
      </c>
      <c r="F4" s="19" t="s">
        <v>23</v>
      </c>
      <c r="G4" s="19" t="s">
        <v>40</v>
      </c>
      <c r="I4" s="16" t="s">
        <v>79</v>
      </c>
      <c r="J4" s="17">
        <f>COUNTIF(jul[Intervention Accepted?],"yes")</f>
        <v>2</v>
      </c>
    </row>
    <row r="5" spans="1:10" ht="25.5" customHeight="1" thickBot="1">
      <c r="A5" s="18">
        <v>42921</v>
      </c>
      <c r="B5" s="19" t="s">
        <v>9</v>
      </c>
      <c r="C5" s="19"/>
      <c r="D5" s="19" t="s">
        <v>22</v>
      </c>
      <c r="E5" s="19" t="s">
        <v>29</v>
      </c>
      <c r="F5" s="19" t="s">
        <v>29</v>
      </c>
      <c r="G5" s="19" t="s">
        <v>42</v>
      </c>
      <c r="I5" s="20" t="s">
        <v>69</v>
      </c>
      <c r="J5" s="21">
        <f>J4/J3</f>
        <v>0.5</v>
      </c>
    </row>
    <row r="6" spans="1:10" ht="25.5" customHeight="1">
      <c r="A6" s="18">
        <v>42924</v>
      </c>
      <c r="B6" s="19" t="s">
        <v>10</v>
      </c>
      <c r="C6" s="19"/>
      <c r="D6" s="19" t="s">
        <v>71</v>
      </c>
      <c r="E6" s="19" t="s">
        <v>38</v>
      </c>
      <c r="F6" s="19" t="s">
        <v>29</v>
      </c>
      <c r="G6" s="19" t="s">
        <v>41</v>
      </c>
    </row>
    <row r="7" spans="1:10" ht="25.5" customHeight="1">
      <c r="A7" s="4"/>
    </row>
    <row r="8" spans="1:10" ht="25.5" customHeight="1">
      <c r="A8" s="4"/>
      <c r="D8" s="32"/>
      <c r="E8" s="32"/>
      <c r="F8" s="32"/>
      <c r="G8" s="32"/>
    </row>
    <row r="9" spans="1:10" ht="25.5" customHeight="1">
      <c r="A9" s="4"/>
      <c r="D9" s="32"/>
      <c r="E9" s="32"/>
      <c r="F9" s="32"/>
      <c r="G9" s="32"/>
    </row>
    <row r="10" spans="1:10" ht="25.5" customHeight="1">
      <c r="A10" s="4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8"/>
  <sheetViews>
    <sheetView workbookViewId="0">
      <selection activeCell="J15" sqref="J15"/>
    </sheetView>
  </sheetViews>
  <sheetFormatPr defaultColWidth="9.15625" defaultRowHeight="25.5" customHeight="1"/>
  <cols>
    <col min="1" max="1" width="10.83984375" style="2" customWidth="1"/>
    <col min="2" max="3" width="25" style="2" customWidth="1"/>
    <col min="4" max="4" width="32.68359375" style="2" customWidth="1"/>
    <col min="5" max="6" width="33.83984375" style="2" customWidth="1"/>
    <col min="7" max="7" width="32.83984375" style="2" customWidth="1"/>
    <col min="8" max="8" width="1.41796875" style="2" customWidth="1"/>
    <col min="9" max="9" width="33.15625" style="2" customWidth="1"/>
    <col min="10" max="10" width="25.83984375" style="2" customWidth="1"/>
    <col min="11" max="16384" width="9.15625" style="2"/>
  </cols>
  <sheetData>
    <row r="1" spans="1:10" ht="25.5" customHeight="1">
      <c r="A1" s="78" t="s">
        <v>87</v>
      </c>
      <c r="B1" s="78"/>
      <c r="C1" s="78"/>
      <c r="D1" s="78"/>
      <c r="E1" s="12"/>
      <c r="F1" s="12"/>
      <c r="G1" s="12"/>
      <c r="I1" s="79" t="s">
        <v>88</v>
      </c>
      <c r="J1" s="80"/>
    </row>
    <row r="2" spans="1:10" ht="25.5" customHeight="1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6" t="s">
        <v>76</v>
      </c>
      <c r="J2" s="17">
        <f>SUM(IF(FREQUENCY(MATCH(aug[Patient],aug[Patient],0),MATCH(aug[Patient],aug[Patient]))&gt;0,1))</f>
        <v>5</v>
      </c>
    </row>
    <row r="3" spans="1:10" ht="25.5" customHeight="1">
      <c r="A3" s="18">
        <v>42962</v>
      </c>
      <c r="B3" s="19" t="s">
        <v>8</v>
      </c>
      <c r="C3" s="19"/>
      <c r="D3" s="19" t="s">
        <v>19</v>
      </c>
      <c r="E3" s="19" t="s">
        <v>29</v>
      </c>
      <c r="F3" s="19" t="s">
        <v>30</v>
      </c>
      <c r="G3" s="19" t="s">
        <v>40</v>
      </c>
      <c r="I3" s="16" t="s">
        <v>24</v>
      </c>
      <c r="J3" s="17">
        <f>COUNTA(aug[Intervention Type])</f>
        <v>5</v>
      </c>
    </row>
    <row r="4" spans="1:10" ht="25.5" customHeight="1">
      <c r="A4" s="18">
        <v>42965</v>
      </c>
      <c r="B4" s="19" t="s">
        <v>9</v>
      </c>
      <c r="C4" s="19"/>
      <c r="D4" s="19" t="s">
        <v>21</v>
      </c>
      <c r="E4" s="19" t="s">
        <v>36</v>
      </c>
      <c r="F4" s="19" t="s">
        <v>37</v>
      </c>
      <c r="G4" s="19" t="s">
        <v>40</v>
      </c>
      <c r="I4" s="16" t="s">
        <v>79</v>
      </c>
      <c r="J4" s="17">
        <f>COUNTIF(aug[Intervention Accepted?],"yes")</f>
        <v>2</v>
      </c>
    </row>
    <row r="5" spans="1:10" ht="25.5" customHeight="1" thickBot="1">
      <c r="A5" s="18">
        <v>42966</v>
      </c>
      <c r="B5" s="19" t="s">
        <v>10</v>
      </c>
      <c r="C5" s="19"/>
      <c r="D5" s="19" t="s">
        <v>71</v>
      </c>
      <c r="E5" s="19" t="s">
        <v>38</v>
      </c>
      <c r="F5" s="19" t="s">
        <v>29</v>
      </c>
      <c r="G5" s="19" t="s">
        <v>41</v>
      </c>
      <c r="I5" s="20" t="s">
        <v>69</v>
      </c>
      <c r="J5" s="21">
        <f>J4/J3</f>
        <v>0.4</v>
      </c>
    </row>
    <row r="6" spans="1:10" ht="25.5" customHeight="1">
      <c r="A6" s="18">
        <v>42972</v>
      </c>
      <c r="B6" s="19" t="s">
        <v>11</v>
      </c>
      <c r="C6" s="19"/>
      <c r="D6" s="19" t="s">
        <v>20</v>
      </c>
      <c r="E6" s="19" t="s">
        <v>26</v>
      </c>
      <c r="F6" s="19" t="s">
        <v>39</v>
      </c>
      <c r="G6" s="19" t="s">
        <v>41</v>
      </c>
    </row>
    <row r="7" spans="1:10" ht="25.5" customHeight="1">
      <c r="A7" s="18">
        <v>42974</v>
      </c>
      <c r="B7" s="19" t="s">
        <v>12</v>
      </c>
      <c r="C7" s="19"/>
      <c r="D7" s="19" t="s">
        <v>72</v>
      </c>
      <c r="E7" s="19" t="s">
        <v>35</v>
      </c>
      <c r="F7" s="19" t="s">
        <v>29</v>
      </c>
      <c r="G7" s="19" t="s">
        <v>41</v>
      </c>
    </row>
    <row r="8" spans="1:10" ht="25.5" customHeight="1">
      <c r="A8" s="4"/>
    </row>
    <row r="9" spans="1:10" ht="25.5" customHeight="1">
      <c r="A9" s="4"/>
      <c r="D9" s="32"/>
      <c r="E9" s="32"/>
      <c r="F9" s="32"/>
      <c r="G9" s="32"/>
    </row>
    <row r="10" spans="1:10" ht="25.5" customHeight="1">
      <c r="A10" s="4"/>
    </row>
    <row r="12" spans="1:10" ht="25.5" customHeight="1">
      <c r="G12" s="5"/>
      <c r="H12" s="5"/>
      <c r="I12" s="5"/>
      <c r="J12" s="5"/>
    </row>
    <row r="13" spans="1:10" ht="25.5" customHeight="1">
      <c r="G13" s="6"/>
      <c r="H13" s="6"/>
      <c r="I13" s="6"/>
      <c r="J13" s="6"/>
    </row>
    <row r="14" spans="1:10" ht="25.5" customHeight="1">
      <c r="G14" s="6"/>
      <c r="H14" s="6"/>
      <c r="I14" s="6"/>
      <c r="J14" s="6"/>
    </row>
    <row r="15" spans="1:10" ht="25.5" customHeight="1">
      <c r="G15" s="6"/>
      <c r="H15" s="6"/>
      <c r="I15" s="6"/>
      <c r="J15" s="6"/>
    </row>
    <row r="16" spans="1:10" ht="25.5" customHeight="1">
      <c r="G16" s="6"/>
      <c r="H16" s="6"/>
      <c r="I16" s="6"/>
      <c r="J16" s="6"/>
    </row>
    <row r="17" spans="7:10" ht="25.5" customHeight="1">
      <c r="G17" s="6"/>
      <c r="H17" s="6"/>
      <c r="I17" s="6"/>
      <c r="J17" s="6"/>
    </row>
    <row r="18" spans="7:10" ht="25.5" customHeight="1">
      <c r="G18" s="7"/>
      <c r="H18" s="7"/>
      <c r="I18" s="7"/>
      <c r="J18" s="7"/>
    </row>
  </sheetData>
  <mergeCells count="2">
    <mergeCell ref="A1:D1"/>
    <mergeCell ref="I1:J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Nebraska Medicine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Chung, Philip</dc:creator>
  <cp:lastModifiedBy>Phil</cp:lastModifiedBy>
  <cp:lastPrinted>2017-06-22T16:42:55Z</cp:lastPrinted>
  <dcterms:created xsi:type="dcterms:W3CDTF">2017-06-20T18:28:37Z</dcterms:created>
  <dcterms:modified xsi:type="dcterms:W3CDTF">2017-07-04T16:47:00Z</dcterms:modified>
</cp:coreProperties>
</file>